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3"/>
  </bookViews>
  <sheets>
    <sheet name="P,R,f" sheetId="1" r:id="rId1"/>
    <sheet name="OpOCZ" sheetId="2" r:id="rId2"/>
    <sheet name="Sheet3" sheetId="3" r:id="rId3"/>
    <sheet name="OpCBB" sheetId="4" r:id="rId4"/>
    <sheet name="Imunização" sheetId="5" r:id="rId5"/>
    <sheet name="Cap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solver_adj" localSheetId="3" hidden="1">'OpCBB'!$L$30</definedName>
    <definedName name="solver_adj" localSheetId="0" hidden="1">'P,R,f'!$B$3:$B$5</definedName>
    <definedName name="solver_cvg" localSheetId="3" hidden="1">0.0001</definedName>
    <definedName name="solver_cvg" localSheetId="0" hidden="1">0.001</definedName>
    <definedName name="solver_drv" localSheetId="3" hidden="1">1</definedName>
    <definedName name="solver_drv" localSheetId="0" hidden="1">1</definedName>
    <definedName name="solver_est" localSheetId="3" hidden="1">1</definedName>
    <definedName name="solver_est" localSheetId="0" hidden="1">1</definedName>
    <definedName name="solver_itr" localSheetId="3" hidden="1">1000</definedName>
    <definedName name="solver_itr" localSheetId="0" hidden="1">1000</definedName>
    <definedName name="solver_lin" localSheetId="3" hidden="1">2</definedName>
    <definedName name="solver_lin" localSheetId="0" hidden="1">2</definedName>
    <definedName name="solver_neg" localSheetId="3" hidden="1">2</definedName>
    <definedName name="solver_neg" localSheetId="0" hidden="1">2</definedName>
    <definedName name="solver_num" localSheetId="3" hidden="1">0</definedName>
    <definedName name="solver_num" localSheetId="0" hidden="1">0</definedName>
    <definedName name="solver_nwt" localSheetId="3" hidden="1">1</definedName>
    <definedName name="solver_nwt" localSheetId="0" hidden="1">1</definedName>
    <definedName name="solver_opt" localSheetId="3" hidden="1">'OpCBB'!$Q$38</definedName>
    <definedName name="solver_opt" localSheetId="0" hidden="1">'P,R,f'!$L$30</definedName>
    <definedName name="solver_pre" localSheetId="3" hidden="1">0.000001</definedName>
    <definedName name="solver_pre" localSheetId="0" hidden="1">0.000001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tim" localSheetId="3" hidden="1">1000</definedName>
    <definedName name="solver_tim" localSheetId="0" hidden="1">1000</definedName>
    <definedName name="solver_tol" localSheetId="3" hidden="1">0.00000001</definedName>
    <definedName name="solver_tol" localSheetId="0" hidden="1">0.000001</definedName>
    <definedName name="solver_typ" localSheetId="3" hidden="1">3</definedName>
    <definedName name="solver_typ" localSheetId="0" hidden="1">2</definedName>
    <definedName name="solver_val" localSheetId="3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<sst xmlns="http://schemas.openxmlformats.org/spreadsheetml/2006/main" count="271" uniqueCount="77">
  <si>
    <t>VASICEK MODEL</t>
  </si>
  <si>
    <t>PARAMETERS</t>
  </si>
  <si>
    <t>a</t>
  </si>
  <si>
    <t>r</t>
  </si>
  <si>
    <t>r(t)</t>
  </si>
  <si>
    <r>
      <t>(1)</t>
    </r>
    <r>
      <rPr>
        <sz val="10"/>
        <rFont val="Arial"/>
        <family val="2"/>
      </rPr>
      <t>risk-adjusted</t>
    </r>
  </si>
  <si>
    <t xml:space="preserve">  parameter</t>
  </si>
  <si>
    <t>Long rate</t>
  </si>
  <si>
    <r>
      <t>R</t>
    </r>
    <r>
      <rPr>
        <b/>
        <vertAlign val="subscript"/>
        <sz val="10"/>
        <rFont val="Symbol"/>
        <family val="1"/>
      </rPr>
      <t>¥</t>
    </r>
  </si>
  <si>
    <t>Model</t>
  </si>
  <si>
    <t>Market</t>
  </si>
  <si>
    <t>Sum</t>
  </si>
  <si>
    <t>t</t>
  </si>
  <si>
    <r>
      <t>B(</t>
    </r>
    <r>
      <rPr>
        <b/>
        <sz val="10"/>
        <rFont val="Symbol"/>
        <family val="1"/>
      </rPr>
      <t>t</t>
    </r>
    <r>
      <rPr>
        <b/>
        <sz val="10"/>
        <rFont val="Arial"/>
        <family val="0"/>
      </rPr>
      <t>)</t>
    </r>
  </si>
  <si>
    <r>
      <t>A(</t>
    </r>
    <r>
      <rPr>
        <b/>
        <sz val="10"/>
        <rFont val="Symbol"/>
        <family val="1"/>
      </rPr>
      <t>t</t>
    </r>
    <r>
      <rPr>
        <b/>
        <sz val="10"/>
        <rFont val="Arial"/>
        <family val="0"/>
      </rPr>
      <t>)</t>
    </r>
  </si>
  <si>
    <t>P(t,T)</t>
  </si>
  <si>
    <t>f(t,T)</t>
  </si>
  <si>
    <r>
      <t>(Rmarket-Rmodel)</t>
    </r>
    <r>
      <rPr>
        <b/>
        <vertAlign val="superscript"/>
        <sz val="9"/>
        <rFont val="Arial"/>
        <family val="2"/>
      </rPr>
      <t>2</t>
    </r>
  </si>
  <si>
    <t>OPÇÕES EUROPEIAS SOBRE OCZ</t>
  </si>
  <si>
    <t>MATRIZ DE INPUTS</t>
  </si>
  <si>
    <r>
      <t xml:space="preserve">MODELO DE </t>
    </r>
    <r>
      <rPr>
        <b/>
        <i/>
        <sz val="10"/>
        <rFont val="MS Sans Serif"/>
        <family val="0"/>
      </rPr>
      <t>VASICEK</t>
    </r>
  </si>
  <si>
    <t>COTAÇÃO OBR. SUBJACENTE</t>
  </si>
  <si>
    <t>PRÉMIO</t>
  </si>
  <si>
    <t>PREÇO EXERCÍCIO (K)</t>
  </si>
  <si>
    <t>CALL</t>
  </si>
  <si>
    <t>COTAÇÃO OBR. REFERÊNCIA</t>
  </si>
  <si>
    <t>PUT</t>
  </si>
  <si>
    <t>VIDA DA OPÇÃO*</t>
  </si>
  <si>
    <t>VIDA DA OBRIGAÇÂO SUB.*</t>
  </si>
  <si>
    <t>VOLATILIDADE (v)</t>
  </si>
  <si>
    <t>*em anos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</si>
  <si>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</si>
  <si>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0</t>
    </r>
  </si>
  <si>
    <r>
      <t>N(d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</si>
  <si>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N(d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</si>
  <si>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g</t>
  </si>
  <si>
    <r>
      <t>r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>(t,T)</t>
    </r>
  </si>
  <si>
    <t>alpha</t>
  </si>
  <si>
    <t>gamma</t>
  </si>
  <si>
    <t>rho</t>
  </si>
  <si>
    <t>B(t,T)</t>
  </si>
  <si>
    <t>A(t,T)</t>
  </si>
  <si>
    <t>T-t</t>
  </si>
  <si>
    <t>Compute r*</t>
  </si>
  <si>
    <t>r*</t>
  </si>
  <si>
    <t>Xi</t>
  </si>
  <si>
    <t>OPÇÕES EUROPEIAS SOBRE CBB</t>
  </si>
  <si>
    <t>PRAZO OBR. SUBJACENTE*</t>
  </si>
  <si>
    <t>CUPÃO OBR. SUBJACENTE</t>
  </si>
  <si>
    <t>PREÇO EXERCÍCIO (X)</t>
  </si>
  <si>
    <t>ki</t>
  </si>
  <si>
    <t>ki x Xi</t>
  </si>
  <si>
    <t>Error</t>
  </si>
  <si>
    <t>exp[A(t,T)-B(t,T)r*]</t>
  </si>
  <si>
    <t>Total:</t>
  </si>
  <si>
    <t>CBB2y</t>
  </si>
  <si>
    <t>CFj</t>
  </si>
  <si>
    <t>P(t,tj)</t>
  </si>
  <si>
    <t>tj-t</t>
  </si>
  <si>
    <t>B(tj-t)</t>
  </si>
  <si>
    <t>Bt</t>
  </si>
  <si>
    <t>Tsdb</t>
  </si>
  <si>
    <t>DFW</t>
  </si>
  <si>
    <t>M</t>
  </si>
  <si>
    <t>Cap features:</t>
  </si>
  <si>
    <t>Revolving</t>
  </si>
  <si>
    <t>semestral</t>
  </si>
  <si>
    <t>Prazo</t>
  </si>
  <si>
    <t>Cap rate</t>
  </si>
  <si>
    <t>L(t,T)</t>
  </si>
  <si>
    <t>1.5 anos</t>
  </si>
  <si>
    <t>1st caplet</t>
  </si>
  <si>
    <t>2nd caplet</t>
  </si>
  <si>
    <t>3rd caplet</t>
  </si>
  <si>
    <t>Contract size</t>
  </si>
  <si>
    <t>CAP</t>
  </si>
  <si>
    <t>?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</si>
</sst>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%"/>
    <numFmt numFmtId="181" formatCode="0.0000"/>
    <numFmt numFmtId="182" formatCode="0.000"/>
    <numFmt numFmtId="183" formatCode="0.00000000"/>
    <numFmt numFmtId="184" formatCode="0.00000"/>
    <numFmt numFmtId="185" formatCode="0.0%"/>
    <numFmt numFmtId="186" formatCode="0.0000%"/>
    <numFmt numFmtId="187" formatCode="0.0"/>
    <numFmt numFmtId="188" formatCode="0.000000000000000%"/>
    <numFmt numFmtId="189" formatCode="_(* #,##0.000_);_(* \(#,##0.000\);_(* &quot;-&quot;???_);_(@_)"/>
    <numFmt numFmtId="190" formatCode="_(* #,##0.00000000_);_(* \(#,##0.00000000\);_(* &quot;-&quot;??????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ymbol"/>
      <family val="1"/>
    </font>
    <font>
      <b/>
      <sz val="16"/>
      <name val="Arial"/>
      <family val="2"/>
    </font>
    <font>
      <sz val="16"/>
      <name val="Arial"/>
      <family val="2"/>
    </font>
    <font>
      <b/>
      <vertAlign val="subscript"/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MS Sans Serif"/>
      <family val="0"/>
    </font>
    <font>
      <b/>
      <sz val="10"/>
      <name val="MS Sans Serif"/>
      <family val="0"/>
    </font>
    <font>
      <b/>
      <i/>
      <sz val="10"/>
      <name val="MS Sans Serif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4" xfId="0" applyFont="1" applyBorder="1" applyAlignment="1">
      <alignment horizontal="center"/>
    </xf>
    <xf numFmtId="180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81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81" fontId="0" fillId="0" borderId="15" xfId="0" applyNumberFormat="1" applyFont="1" applyBorder="1" applyAlignment="1">
      <alignment horizontal="center"/>
    </xf>
    <xf numFmtId="181" fontId="0" fillId="0" borderId="16" xfId="0" applyNumberFormat="1" applyFont="1" applyBorder="1" applyAlignment="1">
      <alignment horizontal="center"/>
    </xf>
    <xf numFmtId="180" fontId="0" fillId="0" borderId="17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80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182" fontId="1" fillId="0" borderId="5" xfId="0" applyNumberFormat="1" applyFont="1" applyBorder="1" applyAlignment="1">
      <alignment/>
    </xf>
    <xf numFmtId="182" fontId="11" fillId="0" borderId="18" xfId="0" applyNumberFormat="1" applyFont="1" applyBorder="1" applyAlignment="1">
      <alignment horizontal="center"/>
    </xf>
    <xf numFmtId="182" fontId="0" fillId="0" borderId="19" xfId="0" applyNumberFormat="1" applyBorder="1" applyAlignment="1">
      <alignment/>
    </xf>
    <xf numFmtId="182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1" fontId="0" fillId="0" borderId="25" xfId="0" applyNumberForma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4" fillId="0" borderId="2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1" fontId="0" fillId="0" borderId="31" xfId="0" applyNumberFormat="1" applyBorder="1" applyAlignment="1" applyProtection="1">
      <alignment/>
      <protection/>
    </xf>
    <xf numFmtId="0" fontId="15" fillId="0" borderId="28" xfId="0" applyFont="1" applyBorder="1" applyAlignment="1">
      <alignment horizontal="center"/>
    </xf>
    <xf numFmtId="183" fontId="1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83" fontId="14" fillId="0" borderId="35" xfId="0" applyNumberFormat="1" applyFont="1" applyBorder="1" applyAlignment="1">
      <alignment/>
    </xf>
    <xf numFmtId="2" fontId="0" fillId="0" borderId="31" xfId="0" applyNumberFormat="1" applyBorder="1" applyAlignment="1" applyProtection="1">
      <alignment/>
      <protection/>
    </xf>
    <xf numFmtId="181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180" fontId="0" fillId="0" borderId="35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10" fontId="0" fillId="0" borderId="31" xfId="21" applyNumberFormat="1" applyBorder="1" applyAlignment="1" applyProtection="1">
      <alignment/>
      <protection/>
    </xf>
    <xf numFmtId="10" fontId="0" fillId="0" borderId="15" xfId="21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180" fontId="1" fillId="0" borderId="12" xfId="0" applyNumberFormat="1" applyFont="1" applyBorder="1" applyAlignment="1" applyProtection="1">
      <alignment/>
      <protection locked="0"/>
    </xf>
    <xf numFmtId="180" fontId="14" fillId="0" borderId="31" xfId="21" applyNumberFormat="1" applyFont="1" applyBorder="1" applyAlignment="1">
      <alignment/>
    </xf>
    <xf numFmtId="180" fontId="14" fillId="0" borderId="35" xfId="21" applyNumberFormat="1" applyFont="1" applyBorder="1" applyAlignment="1">
      <alignment/>
    </xf>
    <xf numFmtId="0" fontId="0" fillId="0" borderId="37" xfId="0" applyBorder="1" applyAlignment="1">
      <alignment/>
    </xf>
    <xf numFmtId="10" fontId="1" fillId="0" borderId="37" xfId="21" applyNumberFormat="1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21" applyNumberFormat="1" applyAlignment="1">
      <alignment/>
    </xf>
    <xf numFmtId="179" fontId="0" fillId="0" borderId="0" xfId="15" applyAlignment="1">
      <alignment/>
    </xf>
    <xf numFmtId="181" fontId="0" fillId="0" borderId="0" xfId="0" applyNumberForma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" fillId="0" borderId="41" xfId="0" applyFont="1" applyBorder="1" applyAlignment="1" applyProtection="1">
      <alignment horizontal="center"/>
      <protection locked="0"/>
    </xf>
    <xf numFmtId="181" fontId="0" fillId="0" borderId="29" xfId="0" applyNumberForma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1" fontId="0" fillId="0" borderId="40" xfId="0" applyNumberFormat="1" applyFont="1" applyBorder="1" applyAlignment="1">
      <alignment horizontal="center"/>
    </xf>
    <xf numFmtId="181" fontId="0" fillId="0" borderId="30" xfId="0" applyNumberFormat="1" applyFont="1" applyBorder="1" applyAlignment="1">
      <alignment horizontal="center"/>
    </xf>
    <xf numFmtId="180" fontId="0" fillId="0" borderId="40" xfId="21" applyNumberFormat="1" applyBorder="1" applyAlignment="1">
      <alignment/>
    </xf>
    <xf numFmtId="10" fontId="0" fillId="0" borderId="0" xfId="0" applyNumberFormat="1" applyAlignment="1">
      <alignment/>
    </xf>
    <xf numFmtId="0" fontId="1" fillId="0" borderId="38" xfId="0" applyFont="1" applyBorder="1" applyAlignment="1">
      <alignment/>
    </xf>
    <xf numFmtId="189" fontId="1" fillId="0" borderId="45" xfId="0" applyNumberFormat="1" applyFont="1" applyBorder="1" applyAlignment="1">
      <alignment/>
    </xf>
    <xf numFmtId="0" fontId="1" fillId="0" borderId="39" xfId="0" applyFont="1" applyBorder="1" applyAlignment="1">
      <alignment/>
    </xf>
    <xf numFmtId="43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 horizontal="right"/>
    </xf>
    <xf numFmtId="189" fontId="1" fillId="0" borderId="30" xfId="0" applyNumberFormat="1" applyFont="1" applyBorder="1" applyAlignment="1">
      <alignment/>
    </xf>
    <xf numFmtId="43" fontId="1" fillId="0" borderId="30" xfId="0" applyNumberFormat="1" applyFont="1" applyBorder="1" applyAlignment="1">
      <alignment/>
    </xf>
    <xf numFmtId="0" fontId="0" fillId="0" borderId="45" xfId="0" applyBorder="1" applyAlignment="1" applyProtection="1">
      <alignment/>
      <protection locked="0"/>
    </xf>
    <xf numFmtId="0" fontId="1" fillId="0" borderId="39" xfId="0" applyFont="1" applyBorder="1" applyAlignment="1">
      <alignment horizontal="center"/>
    </xf>
    <xf numFmtId="180" fontId="0" fillId="0" borderId="40" xfId="21" applyNumberFormat="1" applyBorder="1" applyAlignment="1" applyProtection="1">
      <alignment/>
      <protection locked="0"/>
    </xf>
    <xf numFmtId="0" fontId="1" fillId="0" borderId="41" xfId="0" applyFont="1" applyBorder="1" applyAlignment="1">
      <alignment horizontal="center"/>
    </xf>
    <xf numFmtId="180" fontId="0" fillId="0" borderId="30" xfId="0" applyNumberFormat="1" applyBorder="1" applyAlignment="1" applyProtection="1">
      <alignment/>
      <protection locked="0"/>
    </xf>
    <xf numFmtId="186" fontId="0" fillId="0" borderId="35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MARKET SPOT YIELD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05"/>
          <c:w val="0.9185"/>
          <c:h val="0.852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'P,R,f'!$H$32:$H$91</c:f>
              <c:numCache/>
            </c:numRef>
          </c:cat>
          <c:val>
            <c:numRef>
              <c:f>'P,R,f'!$I$32:$I$91</c:f>
              <c:numCache/>
            </c:numRef>
          </c:val>
        </c:ser>
        <c:axId val="52965694"/>
        <c:axId val="6929199"/>
      </c:area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T-t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929199"/>
        <c:crosses val="autoZero"/>
        <c:auto val="0"/>
        <c:lblOffset val="100"/>
        <c:tickLblSkip val="5"/>
        <c:tickMarkSkip val="5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R(t,T)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656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MODEL SPOT YIELD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05"/>
          <c:w val="0.919"/>
          <c:h val="0.852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'P,R,f'!$A$32:$A$91</c:f>
              <c:numCache/>
            </c:numRef>
          </c:cat>
          <c:val>
            <c:numRef>
              <c:f>'P,R,f'!$E$32:$E$91</c:f>
              <c:numCache/>
            </c:numRef>
          </c:val>
        </c:ser>
        <c:axId val="62362792"/>
        <c:axId val="24394217"/>
      </c:area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T-t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4394217"/>
        <c:crosses val="autoZero"/>
        <c:auto val="0"/>
        <c:lblOffset val="100"/>
        <c:tickLblSkip val="5"/>
        <c:tickMarkSkip val="5"/>
        <c:noMultiLvlLbl val="0"/>
      </c:catAx>
      <c:valAx>
        <c:axId val="243942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R(t,T)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627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MODEL FORWARD YIELD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05"/>
          <c:w val="0.919"/>
          <c:h val="0.852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'P,R,f'!$A$32:$A$91</c:f>
              <c:numCache>
                <c:ptCount val="6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numCache>
            </c:numRef>
          </c:cat>
          <c:val>
            <c:numRef>
              <c:f>'P,R,f'!$F$32:$F$91</c:f>
              <c:numCache>
                <c:ptCount val="60"/>
                <c:pt idx="0">
                  <c:v>0.04112344429364384</c:v>
                </c:pt>
                <c:pt idx="1">
                  <c:v>0.041658828977480175</c:v>
                </c:pt>
                <c:pt idx="2">
                  <c:v>0.04179992186576765</c:v>
                </c:pt>
                <c:pt idx="3">
                  <c:v>0.041684509476224325</c:v>
                </c:pt>
                <c:pt idx="4">
                  <c:v>0.04140970871333429</c:v>
                </c:pt>
                <c:pt idx="5">
                  <c:v>0.041043198281199726</c:v>
                </c:pt>
                <c:pt idx="6">
                  <c:v>0.04063144292512912</c:v>
                </c:pt>
                <c:pt idx="7">
                  <c:v>0.04020570330497508</c:v>
                </c:pt>
                <c:pt idx="8">
                  <c:v>0.03978641695676377</c:v>
                </c:pt>
                <c:pt idx="9">
                  <c:v>0.03938638245308509</c:v>
                </c:pt>
                <c:pt idx="10">
                  <c:v>0.039013065494907295</c:v>
                </c:pt>
                <c:pt idx="11">
                  <c:v>0.038670261867726916</c:v>
                </c:pt>
                <c:pt idx="12">
                  <c:v>0.03835929028034629</c:v>
                </c:pt>
                <c:pt idx="13">
                  <c:v>0.038079842379768594</c:v>
                </c:pt>
                <c:pt idx="14">
                  <c:v>0.037830583484735336</c:v>
                </c:pt>
                <c:pt idx="15">
                  <c:v>0.03760957268279761</c:v>
                </c:pt>
                <c:pt idx="16">
                  <c:v>0.03741455258216612</c:v>
                </c:pt>
                <c:pt idx="17">
                  <c:v>0.037243145491170374</c:v>
                </c:pt>
                <c:pt idx="18">
                  <c:v>0.03709298285086558</c:v>
                </c:pt>
                <c:pt idx="19">
                  <c:v>0.036961787435197214</c:v>
                </c:pt>
                <c:pt idx="20">
                  <c:v>0.0368474224668442</c:v>
                </c:pt>
                <c:pt idx="21">
                  <c:v>0.03674791786438943</c:v>
                </c:pt>
                <c:pt idx="22">
                  <c:v>0.03666148096020664</c:v>
                </c:pt>
                <c:pt idx="23">
                  <c:v>0.036586496929502194</c:v>
                </c:pt>
                <c:pt idx="24">
                  <c:v>0.036521522643410326</c:v>
                </c:pt>
                <c:pt idx="25">
                  <c:v>0.036465276550995136</c:v>
                </c:pt>
                <c:pt idx="26">
                  <c:v>0.03641662639445101</c:v>
                </c:pt>
                <c:pt idx="27">
                  <c:v>0.036374575986194896</c:v>
                </c:pt>
                <c:pt idx="28">
                  <c:v>0.03633825186516703</c:v>
                </c:pt>
                <c:pt idx="29">
                  <c:v>0.036306890357845324</c:v>
                </c:pt>
                <c:pt idx="30">
                  <c:v>0.03627982536443913</c:v>
                </c:pt>
                <c:pt idx="31">
                  <c:v>0.0362564770484202</c:v>
                </c:pt>
                <c:pt idx="32">
                  <c:v>0.03623634151037681</c:v>
                </c:pt>
                <c:pt idx="33">
                  <c:v>0.03621898146229411</c:v>
                </c:pt>
                <c:pt idx="34">
                  <c:v>0.03620401787641114</c:v>
                </c:pt>
                <c:pt idx="35">
                  <c:v>0.036191122556987955</c:v>
                </c:pt>
                <c:pt idx="36">
                  <c:v>0.036180011568719854</c:v>
                </c:pt>
                <c:pt idx="37">
                  <c:v>0.03617043944862112</c:v>
                </c:pt>
                <c:pt idx="38">
                  <c:v>0.03616219412643323</c:v>
                </c:pt>
                <c:pt idx="39">
                  <c:v>0.03615509248019138</c:v>
                </c:pt>
                <c:pt idx="40">
                  <c:v>0.03614897645723868</c:v>
                </c:pt>
                <c:pt idx="41">
                  <c:v>0.036143709695824484</c:v>
                </c:pt>
                <c:pt idx="42">
                  <c:v>0.036139174587856336</c:v>
                </c:pt>
                <c:pt idx="43">
                  <c:v>0.03613526972898421</c:v>
                </c:pt>
                <c:pt idx="44">
                  <c:v>0.03613190770771564</c:v>
                </c:pt>
                <c:pt idx="45">
                  <c:v>0.036129013190523765</c:v>
                </c:pt>
                <c:pt idx="46">
                  <c:v>0.03612652126482019</c:v>
                </c:pt>
                <c:pt idx="47">
                  <c:v>0.03612437600617157</c:v>
                </c:pt>
                <c:pt idx="48">
                  <c:v>0.03612252924022657</c:v>
                </c:pt>
                <c:pt idx="49">
                  <c:v>0.03612093947349262</c:v>
                </c:pt>
                <c:pt idx="50">
                  <c:v>0.03611957097037688</c:v>
                </c:pt>
                <c:pt idx="51">
                  <c:v>0.03611839295681029</c:v>
                </c:pt>
                <c:pt idx="52">
                  <c:v>0.03611737893333502</c:v>
                </c:pt>
                <c:pt idx="53">
                  <c:v>0.03611650608278795</c:v>
                </c:pt>
                <c:pt idx="54">
                  <c:v>0.03611575475968489</c:v>
                </c:pt>
                <c:pt idx="55">
                  <c:v>0.03611510805013382</c:v>
                </c:pt>
                <c:pt idx="56">
                  <c:v>0.03611455139260734</c:v>
                </c:pt>
                <c:pt idx="57">
                  <c:v>0.03611407225121155</c:v>
                </c:pt>
                <c:pt idx="58">
                  <c:v>0.036113659834223766</c:v>
                </c:pt>
                <c:pt idx="59">
                  <c:v>0.036113304851656265</c:v>
                </c:pt>
              </c:numCache>
            </c:numRef>
          </c:val>
        </c:ser>
        <c:axId val="18221362"/>
        <c:axId val="29774531"/>
      </c:area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T-t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9774531"/>
        <c:crosses val="autoZero"/>
        <c:auto val="0"/>
        <c:lblOffset val="100"/>
        <c:tickLblSkip val="5"/>
        <c:tickMarkSkip val="5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f(t,T)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213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123825</xdr:rowOff>
    </xdr:from>
    <xdr:to>
      <xdr:col>10</xdr:col>
      <xdr:colOff>466725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962150" y="533400"/>
        <a:ext cx="46005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1028700</xdr:colOff>
      <xdr:row>2</xdr:row>
      <xdr:rowOff>104775</xdr:rowOff>
    </xdr:from>
    <xdr:to>
      <xdr:col>19</xdr:col>
      <xdr:colOff>285750</xdr:colOff>
      <xdr:row>17</xdr:row>
      <xdr:rowOff>95250</xdr:rowOff>
    </xdr:to>
    <xdr:graphicFrame>
      <xdr:nvGraphicFramePr>
        <xdr:cNvPr id="2" name="Chart 2"/>
        <xdr:cNvGraphicFramePr/>
      </xdr:nvGraphicFramePr>
      <xdr:xfrm>
        <a:off x="7677150" y="514350"/>
        <a:ext cx="4619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</xdr:row>
      <xdr:rowOff>104775</xdr:rowOff>
    </xdr:from>
    <xdr:to>
      <xdr:col>28</xdr:col>
      <xdr:colOff>57150</xdr:colOff>
      <xdr:row>17</xdr:row>
      <xdr:rowOff>95250</xdr:rowOff>
    </xdr:to>
    <xdr:graphicFrame>
      <xdr:nvGraphicFramePr>
        <xdr:cNvPr id="3" name="Chart 3"/>
        <xdr:cNvGraphicFramePr/>
      </xdr:nvGraphicFramePr>
      <xdr:xfrm>
        <a:off x="12934950" y="514350"/>
        <a:ext cx="46196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B22" sqref="B22"/>
    </sheetView>
  </sheetViews>
  <sheetFormatPr defaultColWidth="9.140625" defaultRowHeight="12.75"/>
  <cols>
    <col min="11" max="11" width="8.28125" style="0" customWidth="1"/>
    <col min="12" max="12" width="16.421875" style="0" customWidth="1"/>
  </cols>
  <sheetData>
    <row r="1" spans="1:9" ht="18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" ht="13.5" thickBot="1">
      <c r="A2" s="5" t="s">
        <v>1</v>
      </c>
      <c r="B2" s="6"/>
    </row>
    <row r="3" spans="1:2" ht="13.5" thickTop="1">
      <c r="A3" s="2" t="s">
        <v>2</v>
      </c>
      <c r="B3" s="19">
        <v>1</v>
      </c>
    </row>
    <row r="4" spans="1:2" ht="12.75">
      <c r="A4" s="3" t="s">
        <v>35</v>
      </c>
      <c r="B4" s="20">
        <v>1</v>
      </c>
    </row>
    <row r="5" spans="1:8" ht="12.75">
      <c r="A5" s="3" t="s">
        <v>3</v>
      </c>
      <c r="B5" s="20">
        <v>1</v>
      </c>
      <c r="H5" s="1"/>
    </row>
    <row r="6" spans="1:8" ht="13.5" thickBot="1">
      <c r="A6" s="4" t="s">
        <v>4</v>
      </c>
      <c r="B6" s="21">
        <v>0.04</v>
      </c>
      <c r="H6" s="1"/>
    </row>
    <row r="7" spans="1:2" ht="15" thickTop="1">
      <c r="A7" s="13" t="s">
        <v>5</v>
      </c>
      <c r="B7" s="12"/>
    </row>
    <row r="8" spans="1:2" ht="12.75">
      <c r="A8" t="s">
        <v>6</v>
      </c>
      <c r="B8" s="12"/>
    </row>
    <row r="10" spans="1:2" ht="13.5" thickBot="1">
      <c r="A10" s="5" t="s">
        <v>7</v>
      </c>
      <c r="B10" s="6"/>
    </row>
    <row r="11" spans="1:2" ht="15.75" thickBot="1" thickTop="1">
      <c r="A11" s="9" t="s">
        <v>8</v>
      </c>
      <c r="B11" s="10">
        <f>+B4-((B5^2)/(2*(B3^2)))</f>
        <v>0.5</v>
      </c>
    </row>
    <row r="12" ht="13.5" thickTop="1"/>
    <row r="28" spans="2:3" ht="12.75">
      <c r="B28" s="11"/>
      <c r="C28" s="12"/>
    </row>
    <row r="29" ht="13.5" thickBot="1"/>
    <row r="30" spans="2:13" ht="14.25" thickBot="1" thickTop="1">
      <c r="B30" s="29" t="s">
        <v>9</v>
      </c>
      <c r="C30" s="30"/>
      <c r="D30" s="30"/>
      <c r="E30" s="30"/>
      <c r="F30" s="31"/>
      <c r="H30" s="29" t="s">
        <v>10</v>
      </c>
      <c r="I30" s="31"/>
      <c r="J30" s="32"/>
      <c r="K30" s="33" t="s">
        <v>11</v>
      </c>
      <c r="L30" s="34">
        <f>SUM(L32:L91)</f>
        <v>11.275985007539061</v>
      </c>
      <c r="M30" s="32"/>
    </row>
    <row r="31" spans="1:12" ht="15.75" thickBot="1" thickTop="1">
      <c r="A31" s="18" t="s">
        <v>12</v>
      </c>
      <c r="B31" s="15" t="s">
        <v>13</v>
      </c>
      <c r="C31" s="15" t="s">
        <v>14</v>
      </c>
      <c r="D31" s="16" t="s">
        <v>15</v>
      </c>
      <c r="E31" s="27" t="s">
        <v>36</v>
      </c>
      <c r="F31" s="27" t="s">
        <v>16</v>
      </c>
      <c r="H31" s="18" t="s">
        <v>12</v>
      </c>
      <c r="I31" s="27" t="s">
        <v>36</v>
      </c>
      <c r="K31" s="18" t="s">
        <v>12</v>
      </c>
      <c r="L31" s="35" t="s">
        <v>17</v>
      </c>
    </row>
    <row r="32" spans="1:12" ht="13.5" thickTop="1">
      <c r="A32" s="22">
        <v>0.5</v>
      </c>
      <c r="B32" s="17">
        <f aca="true" t="shared" si="0" ref="B32:B63">(1-EXP(-$B$3*A32))/($B$3)</f>
        <v>0.3934693402873666</v>
      </c>
      <c r="C32" s="17">
        <f aca="true" t="shared" si="1" ref="C32:C63">(B32-A32)*$B$11-(($B$5^2)/(4*$B$3))*(B32^2)</f>
        <v>-0.09196986029286058</v>
      </c>
      <c r="D32" s="24">
        <f aca="true" t="shared" si="2" ref="D32:D63">EXP(C32-B32*$B$6)</f>
        <v>0.8978891727839396</v>
      </c>
      <c r="E32" s="28">
        <f>-LN(D32)/A32</f>
        <v>0.21541726780871057</v>
      </c>
      <c r="F32" s="28">
        <f>EXP(-$B$3*A32)*($B$6-$B$11)+$B$11+(($B$5^2)/(2*($B$3^2)))*(EXP(-$B$3*A32)-EXP(-2*$B$3*A32))</f>
        <v>0.34032150580278414</v>
      </c>
      <c r="H32" s="22">
        <v>0.5</v>
      </c>
      <c r="I32" s="28">
        <v>0.0406</v>
      </c>
      <c r="K32" s="22">
        <v>0.5</v>
      </c>
      <c r="L32" s="36">
        <f>(I32-E32)^2</f>
        <v>0.030561077124102432</v>
      </c>
    </row>
    <row r="33" spans="1:12" ht="12.75">
      <c r="A33" s="22">
        <v>1</v>
      </c>
      <c r="B33" s="17">
        <f t="shared" si="0"/>
        <v>0.6321205588285577</v>
      </c>
      <c r="C33" s="17">
        <f t="shared" si="1"/>
        <v>-0.2838338208091532</v>
      </c>
      <c r="D33" s="24">
        <f t="shared" si="2"/>
        <v>0.7340936696650442</v>
      </c>
      <c r="E33" s="28">
        <f aca="true" t="shared" si="3" ref="E33:E48">-LN(D33)/A33</f>
        <v>0.3091186431622956</v>
      </c>
      <c r="F33" s="28">
        <f aca="true" t="shared" si="4" ref="F33:F48">EXP(-$B$3*A33)*($B$6-$B$11)+$B$11+(($B$5^2)/(2*($B$3^2)))*(EXP(-$B$3*A33)-EXP(-2*$B$3*A33))</f>
        <v>0.44704753602855135</v>
      </c>
      <c r="H33" s="22">
        <v>1</v>
      </c>
      <c r="I33" s="28">
        <v>0.041</v>
      </c>
      <c r="K33" s="22">
        <v>1</v>
      </c>
      <c r="L33" s="36">
        <f aca="true" t="shared" si="5" ref="L33:L48">(I33-E33)^2</f>
        <v>0.07188760681119041</v>
      </c>
    </row>
    <row r="34" spans="1:12" ht="12.75">
      <c r="A34" s="22">
        <v>1.5</v>
      </c>
      <c r="B34" s="17">
        <f t="shared" si="0"/>
        <v>0.7768698398515702</v>
      </c>
      <c r="C34" s="17">
        <f t="shared" si="1"/>
        <v>-0.512446767091966</v>
      </c>
      <c r="D34" s="24">
        <f t="shared" si="2"/>
        <v>0.5806996782447321</v>
      </c>
      <c r="E34" s="28">
        <f t="shared" si="3"/>
        <v>0.36234770712401926</v>
      </c>
      <c r="F34" s="28">
        <f t="shared" si="4"/>
        <v>0.4840316722220052</v>
      </c>
      <c r="H34" s="22">
        <v>1.5</v>
      </c>
      <c r="I34" s="28">
        <v>0.0413</v>
      </c>
      <c r="K34" s="22">
        <v>1.5</v>
      </c>
      <c r="L34" s="36">
        <f t="shared" si="5"/>
        <v>0.10307163024959004</v>
      </c>
    </row>
    <row r="35" spans="1:12" ht="12.75">
      <c r="A35" s="22">
        <v>2</v>
      </c>
      <c r="B35" s="17">
        <f t="shared" si="0"/>
        <v>0.8646647167633873</v>
      </c>
      <c r="C35" s="17">
        <f t="shared" si="1"/>
        <v>-0.7545789097221836</v>
      </c>
      <c r="D35" s="24">
        <f t="shared" si="2"/>
        <v>0.4542236875645962</v>
      </c>
      <c r="E35" s="28">
        <f t="shared" si="3"/>
        <v>0.3945827491963595</v>
      </c>
      <c r="F35" s="28">
        <f t="shared" si="4"/>
        <v>0.4962555918850974</v>
      </c>
      <c r="H35" s="22">
        <v>2</v>
      </c>
      <c r="I35" s="28">
        <v>0.0414</v>
      </c>
      <c r="K35" s="22">
        <v>2</v>
      </c>
      <c r="L35" s="36">
        <f t="shared" si="5"/>
        <v>0.12473805432989858</v>
      </c>
    </row>
    <row r="36" spans="1:12" ht="12.75">
      <c r="A36" s="22">
        <v>2.5</v>
      </c>
      <c r="B36" s="17">
        <f t="shared" si="0"/>
        <v>0.9179150013761012</v>
      </c>
      <c r="C36" s="17">
        <f t="shared" si="1"/>
        <v>-1.0016844867497714</v>
      </c>
      <c r="D36" s="24">
        <f t="shared" si="2"/>
        <v>0.3540202773621441</v>
      </c>
      <c r="E36" s="28">
        <f t="shared" si="3"/>
        <v>0.4153604347219262</v>
      </c>
      <c r="F36" s="28">
        <f t="shared" si="4"/>
        <v>0.49991442644541323</v>
      </c>
      <c r="H36" s="22">
        <v>2.5</v>
      </c>
      <c r="I36" s="28">
        <v>0.0414</v>
      </c>
      <c r="K36" s="22">
        <v>2.5</v>
      </c>
      <c r="L36" s="36">
        <f t="shared" si="5"/>
        <v>0.13984640673741203</v>
      </c>
    </row>
    <row r="37" spans="1:12" ht="12.75">
      <c r="A37" s="22">
        <v>3</v>
      </c>
      <c r="B37" s="17">
        <f t="shared" si="0"/>
        <v>0.950212931632136</v>
      </c>
      <c r="C37" s="17">
        <f t="shared" si="1"/>
        <v>-1.2506196880441667</v>
      </c>
      <c r="D37" s="24">
        <f t="shared" si="2"/>
        <v>0.2756486572120575</v>
      </c>
      <c r="E37" s="28">
        <f t="shared" si="3"/>
        <v>0.4295427351031507</v>
      </c>
      <c r="F37" s="28">
        <f t="shared" si="4"/>
        <v>0.5007521066463814</v>
      </c>
      <c r="H37" s="22">
        <v>3</v>
      </c>
      <c r="I37" s="28">
        <v>0.0414</v>
      </c>
      <c r="K37" s="22">
        <v>3</v>
      </c>
      <c r="L37" s="36">
        <f t="shared" si="5"/>
        <v>0.15065478281335465</v>
      </c>
    </row>
    <row r="38" spans="1:12" ht="12.75">
      <c r="A38" s="22">
        <v>3.5</v>
      </c>
      <c r="B38" s="17">
        <f t="shared" si="0"/>
        <v>0.9698026165776815</v>
      </c>
      <c r="C38" s="17">
        <f t="shared" si="1"/>
        <v>-1.5002279704913888</v>
      </c>
      <c r="D38" s="24">
        <f t="shared" si="2"/>
        <v>0.21459128175831826</v>
      </c>
      <c r="E38" s="28">
        <f t="shared" si="3"/>
        <v>0.43972002147271316</v>
      </c>
      <c r="F38" s="28">
        <f t="shared" si="4"/>
        <v>0.5007519543541155</v>
      </c>
      <c r="H38" s="22">
        <v>3.5</v>
      </c>
      <c r="I38" s="28">
        <v>0.0413</v>
      </c>
      <c r="K38" s="22">
        <v>3.5</v>
      </c>
      <c r="L38" s="36">
        <f t="shared" si="5"/>
        <v>0.1587385135103172</v>
      </c>
    </row>
    <row r="39" spans="1:12" ht="12.75">
      <c r="A39" s="22">
        <v>4</v>
      </c>
      <c r="B39" s="17">
        <f t="shared" si="0"/>
        <v>0.9816843611112658</v>
      </c>
      <c r="C39" s="17">
        <f t="shared" si="1"/>
        <v>-1.7500838656569757</v>
      </c>
      <c r="D39" s="24">
        <f t="shared" si="2"/>
        <v>0.16706852187326252</v>
      </c>
      <c r="E39" s="28">
        <f t="shared" si="3"/>
        <v>0.4473378100253566</v>
      </c>
      <c r="F39" s="28">
        <f t="shared" si="4"/>
        <v>0.5005648942415981</v>
      </c>
      <c r="H39" s="22">
        <v>4</v>
      </c>
      <c r="I39" s="28">
        <v>0.0412</v>
      </c>
      <c r="K39" s="22">
        <v>4</v>
      </c>
      <c r="L39" s="36">
        <f t="shared" si="5"/>
        <v>0.16494792073219264</v>
      </c>
    </row>
    <row r="40" spans="1:12" ht="12.75">
      <c r="A40" s="22">
        <v>4.5</v>
      </c>
      <c r="B40" s="17">
        <f t="shared" si="0"/>
        <v>0.9888910034617577</v>
      </c>
      <c r="C40" s="17">
        <f t="shared" si="1"/>
        <v>-2.0000308524510215</v>
      </c>
      <c r="D40" s="24">
        <f t="shared" si="2"/>
        <v>0.13008248983218462</v>
      </c>
      <c r="E40" s="28">
        <f t="shared" si="3"/>
        <v>0.4532414427976648</v>
      </c>
      <c r="F40" s="28">
        <f t="shared" si="4"/>
        <v>0.5003826549594864</v>
      </c>
      <c r="H40" s="22">
        <v>4.5</v>
      </c>
      <c r="I40" s="28">
        <v>0.0411</v>
      </c>
      <c r="K40" s="22">
        <v>4.5</v>
      </c>
      <c r="L40" s="36">
        <f t="shared" si="5"/>
        <v>0.16986056887134085</v>
      </c>
    </row>
    <row r="41" spans="1:12" ht="12.75">
      <c r="A41" s="22">
        <v>5</v>
      </c>
      <c r="B41" s="17">
        <f t="shared" si="0"/>
        <v>0.9932620530009145</v>
      </c>
      <c r="C41" s="17">
        <f t="shared" si="1"/>
        <v>-2.2500113499824406</v>
      </c>
      <c r="D41" s="24">
        <f t="shared" si="2"/>
        <v>0.10129260897845868</v>
      </c>
      <c r="E41" s="28">
        <f t="shared" si="3"/>
        <v>0.4579483664204954</v>
      </c>
      <c r="F41" s="28">
        <f t="shared" si="4"/>
        <v>0.5002468179150822</v>
      </c>
      <c r="H41" s="22">
        <v>5</v>
      </c>
      <c r="I41" s="28">
        <v>0.0409</v>
      </c>
      <c r="K41" s="22">
        <v>5</v>
      </c>
      <c r="L41" s="36">
        <f t="shared" si="5"/>
        <v>0.1739293399340038</v>
      </c>
    </row>
    <row r="42" spans="1:12" ht="12.75">
      <c r="A42" s="22">
        <v>5.5</v>
      </c>
      <c r="B42" s="17">
        <f t="shared" si="0"/>
        <v>0.995913228561536</v>
      </c>
      <c r="C42" s="17">
        <f t="shared" si="1"/>
        <v>-2.5000041754251976</v>
      </c>
      <c r="D42" s="24">
        <f t="shared" si="2"/>
        <v>0.07887896384859872</v>
      </c>
      <c r="E42" s="28">
        <f t="shared" si="3"/>
        <v>0.4617892190123017</v>
      </c>
      <c r="F42" s="28">
        <f t="shared" si="4"/>
        <v>0.5001551200071435</v>
      </c>
      <c r="H42" s="22">
        <v>5.5</v>
      </c>
      <c r="I42" s="28">
        <v>0.0408</v>
      </c>
      <c r="K42" s="22">
        <v>5.5</v>
      </c>
      <c r="L42" s="36">
        <f t="shared" si="5"/>
        <v>0.17723192252458772</v>
      </c>
    </row>
    <row r="43" spans="1:12" ht="12.75">
      <c r="A43" s="22">
        <v>6</v>
      </c>
      <c r="B43" s="17">
        <f t="shared" si="0"/>
        <v>0.9975212478233336</v>
      </c>
      <c r="C43" s="17">
        <f t="shared" si="1"/>
        <v>-2.7500015360530883</v>
      </c>
      <c r="D43" s="24">
        <f t="shared" si="2"/>
        <v>0.06142720978009776</v>
      </c>
      <c r="E43" s="28">
        <f t="shared" si="3"/>
        <v>0.46498373099433693</v>
      </c>
      <c r="F43" s="28">
        <f t="shared" si="4"/>
        <v>0.50009607798089</v>
      </c>
      <c r="H43" s="22">
        <v>6</v>
      </c>
      <c r="I43" s="28">
        <v>0.0406</v>
      </c>
      <c r="K43" s="22">
        <v>6</v>
      </c>
      <c r="L43" s="36">
        <f t="shared" si="5"/>
        <v>0.1801015511326737</v>
      </c>
    </row>
    <row r="44" spans="1:12" ht="12.75">
      <c r="A44" s="22">
        <v>6.5</v>
      </c>
      <c r="B44" s="17">
        <f t="shared" si="0"/>
        <v>0.9984965608070224</v>
      </c>
      <c r="C44" s="17">
        <f t="shared" si="1"/>
        <v>-3.0000005650823516</v>
      </c>
      <c r="D44" s="24">
        <f t="shared" si="2"/>
        <v>0.04783773922233466</v>
      </c>
      <c r="E44" s="28">
        <f t="shared" si="3"/>
        <v>0.46768314269455885</v>
      </c>
      <c r="F44" s="28">
        <f t="shared" si="4"/>
        <v>0.5000590074030156</v>
      </c>
      <c r="H44" s="22">
        <v>6.5</v>
      </c>
      <c r="I44" s="28">
        <v>0.0404</v>
      </c>
      <c r="K44" s="22">
        <v>6.5</v>
      </c>
      <c r="L44" s="36">
        <f t="shared" si="5"/>
        <v>0.18257088403093874</v>
      </c>
    </row>
    <row r="45" spans="1:12" ht="12.75">
      <c r="A45" s="22">
        <v>7</v>
      </c>
      <c r="B45" s="17">
        <f t="shared" si="0"/>
        <v>0.9990881180344455</v>
      </c>
      <c r="C45" s="17">
        <f t="shared" si="1"/>
        <v>-3.2500002078821795</v>
      </c>
      <c r="D45" s="24">
        <f t="shared" si="2"/>
        <v>0.03725520052084162</v>
      </c>
      <c r="E45" s="28">
        <f t="shared" si="3"/>
        <v>0.4699948189433653</v>
      </c>
      <c r="F45" s="28">
        <f t="shared" si="4"/>
        <v>0.5000360595142627</v>
      </c>
      <c r="H45" s="22">
        <v>7</v>
      </c>
      <c r="I45" s="28">
        <v>0.0403</v>
      </c>
      <c r="K45" s="22">
        <v>7</v>
      </c>
      <c r="L45" s="36">
        <f t="shared" si="5"/>
        <v>0.1846376374267715</v>
      </c>
    </row>
    <row r="46" spans="1:12" ht="12.75">
      <c r="A46" s="22">
        <v>7.5</v>
      </c>
      <c r="B46" s="17">
        <f t="shared" si="0"/>
        <v>0.9994469156298522</v>
      </c>
      <c r="C46" s="17">
        <f t="shared" si="1"/>
        <v>-3.5000000764755805</v>
      </c>
      <c r="D46" s="24">
        <f t="shared" si="2"/>
        <v>0.02901396674314667</v>
      </c>
      <c r="E46" s="28">
        <f t="shared" si="3"/>
        <v>0.47199706041343664</v>
      </c>
      <c r="F46" s="28">
        <f t="shared" si="4"/>
        <v>0.5000219704236457</v>
      </c>
      <c r="H46" s="22">
        <v>7.5</v>
      </c>
      <c r="I46" s="28">
        <v>0.0401</v>
      </c>
      <c r="K46" s="22">
        <v>7.5</v>
      </c>
      <c r="L46" s="36">
        <f t="shared" si="5"/>
        <v>0.18653507079376777</v>
      </c>
    </row>
    <row r="47" spans="1:12" ht="12.75">
      <c r="A47" s="22">
        <v>8</v>
      </c>
      <c r="B47" s="17">
        <f t="shared" si="0"/>
        <v>0.9996645373720975</v>
      </c>
      <c r="C47" s="17">
        <f t="shared" si="1"/>
        <v>-3.750000028133794</v>
      </c>
      <c r="D47" s="24">
        <f t="shared" si="2"/>
        <v>0.02259590441664662</v>
      </c>
      <c r="E47" s="28">
        <f t="shared" si="3"/>
        <v>0.47374832620358476</v>
      </c>
      <c r="F47" s="28">
        <f t="shared" si="4"/>
        <v>0.5000133622375288</v>
      </c>
      <c r="H47" s="22">
        <v>8</v>
      </c>
      <c r="I47" s="28">
        <v>0.04</v>
      </c>
      <c r="K47" s="22">
        <v>8</v>
      </c>
      <c r="L47" s="36">
        <f t="shared" si="5"/>
        <v>0.18813761048441138</v>
      </c>
    </row>
    <row r="48" spans="1:12" ht="12.75">
      <c r="A48" s="22">
        <v>8.5</v>
      </c>
      <c r="B48" s="17">
        <f t="shared" si="0"/>
        <v>0.9997965316309894</v>
      </c>
      <c r="C48" s="17">
        <f t="shared" si="1"/>
        <v>-4.000000010349844</v>
      </c>
      <c r="D48" s="24">
        <f t="shared" si="2"/>
        <v>0.017597615455234094</v>
      </c>
      <c r="E48" s="28">
        <f t="shared" si="3"/>
        <v>0.47529316136648037</v>
      </c>
      <c r="F48" s="28">
        <f t="shared" si="4"/>
        <v>0.5000081180350718</v>
      </c>
      <c r="H48" s="22">
        <v>8.5</v>
      </c>
      <c r="I48" s="28">
        <v>0.0398</v>
      </c>
      <c r="K48" s="22">
        <v>8.5</v>
      </c>
      <c r="L48" s="36">
        <f t="shared" si="5"/>
        <v>0.1896542935969713</v>
      </c>
    </row>
    <row r="49" spans="1:12" ht="12.75">
      <c r="A49" s="22">
        <v>9</v>
      </c>
      <c r="B49" s="17">
        <f t="shared" si="0"/>
        <v>0.9998765901959134</v>
      </c>
      <c r="C49" s="17">
        <f t="shared" si="1"/>
        <v>-4.250000003807495</v>
      </c>
      <c r="D49" s="24">
        <f t="shared" si="2"/>
        <v>0.013704992898236077</v>
      </c>
      <c r="E49" s="28">
        <f aca="true" t="shared" si="6" ref="E49:E64">-LN(D49)/A49</f>
        <v>0.4766661186017035</v>
      </c>
      <c r="F49" s="28">
        <f aca="true" t="shared" si="7" ref="F49:F64">EXP(-$B$3*A49)*($B$6-$B$11)+$B$11+(($B$5^2)/(2*($B$3^2)))*(EXP(-$B$3*A49)-EXP(-2*$B$3*A49))</f>
        <v>0.5000049287771736</v>
      </c>
      <c r="H49" s="22">
        <v>9</v>
      </c>
      <c r="I49" s="28">
        <v>0.0397</v>
      </c>
      <c r="K49" s="22">
        <v>9</v>
      </c>
      <c r="L49" s="36">
        <f aca="true" t="shared" si="8" ref="L49:L64">(I49-E49)^2</f>
        <v>0.190939388805838</v>
      </c>
    </row>
    <row r="50" spans="1:12" ht="12.75">
      <c r="A50" s="22">
        <v>9.5</v>
      </c>
      <c r="B50" s="17">
        <f t="shared" si="0"/>
        <v>0.9999251481701124</v>
      </c>
      <c r="C50" s="17">
        <f t="shared" si="1"/>
        <v>-4.500000001400699</v>
      </c>
      <c r="D50" s="24">
        <f t="shared" si="2"/>
        <v>0.010673438495580959</v>
      </c>
      <c r="E50" s="28">
        <f t="shared" si="6"/>
        <v>0.47789442182394776</v>
      </c>
      <c r="F50" s="28">
        <f t="shared" si="7"/>
        <v>0.5000029912717973</v>
      </c>
      <c r="H50" s="22">
        <v>9.5</v>
      </c>
      <c r="I50" s="28">
        <v>0.0396</v>
      </c>
      <c r="K50" s="22">
        <v>9.5</v>
      </c>
      <c r="L50" s="36">
        <f t="shared" si="8"/>
        <v>0.19210200020198864</v>
      </c>
    </row>
    <row r="51" spans="1:12" ht="12.75">
      <c r="A51" s="22">
        <v>10</v>
      </c>
      <c r="B51" s="17">
        <f t="shared" si="0"/>
        <v>0.9999546000702375</v>
      </c>
      <c r="C51" s="17">
        <f t="shared" si="1"/>
        <v>-4.750000000515288</v>
      </c>
      <c r="D51" s="24">
        <f t="shared" si="2"/>
        <v>0.008312472473052761</v>
      </c>
      <c r="E51" s="28">
        <f t="shared" si="6"/>
        <v>0.4789998184518097</v>
      </c>
      <c r="F51" s="28">
        <f t="shared" si="7"/>
        <v>0.5000018149666137</v>
      </c>
      <c r="H51" s="22">
        <v>10</v>
      </c>
      <c r="I51" s="28">
        <v>0.0394</v>
      </c>
      <c r="K51" s="22">
        <v>10</v>
      </c>
      <c r="L51" s="36">
        <f t="shared" si="8"/>
        <v>0.19324800038286408</v>
      </c>
    </row>
    <row r="52" spans="1:12" ht="12.75">
      <c r="A52" s="22">
        <v>10.5</v>
      </c>
      <c r="B52" s="17">
        <f t="shared" si="0"/>
        <v>0.9999724635506503</v>
      </c>
      <c r="C52" s="17">
        <f t="shared" si="1"/>
        <v>-5.000000000189564</v>
      </c>
      <c r="D52" s="24">
        <f t="shared" si="2"/>
        <v>0.0064737554476278466</v>
      </c>
      <c r="E52" s="28">
        <f t="shared" si="6"/>
        <v>0.4799998951172943</v>
      </c>
      <c r="F52" s="28">
        <f t="shared" si="7"/>
        <v>0.500001101078846</v>
      </c>
      <c r="H52" s="22">
        <v>10.5</v>
      </c>
      <c r="I52" s="28">
        <v>0.0393</v>
      </c>
      <c r="K52" s="22">
        <v>10.5</v>
      </c>
      <c r="L52" s="36">
        <f t="shared" si="8"/>
        <v>0.1942163975563942</v>
      </c>
    </row>
    <row r="53" spans="1:12" ht="12.75">
      <c r="A53" s="22">
        <v>11</v>
      </c>
      <c r="B53" s="17">
        <f t="shared" si="0"/>
        <v>0.9999832982992097</v>
      </c>
      <c r="C53" s="17">
        <f t="shared" si="1"/>
        <v>-5.250000000069737</v>
      </c>
      <c r="D53" s="24">
        <f t="shared" si="2"/>
        <v>0.00504176362757936</v>
      </c>
      <c r="E53" s="28">
        <f t="shared" si="6"/>
        <v>0.4809090301819732</v>
      </c>
      <c r="F53" s="28">
        <f t="shared" si="7"/>
        <v>0.5000006679285582</v>
      </c>
      <c r="H53" s="22">
        <v>11</v>
      </c>
      <c r="I53" s="28">
        <v>0.0392</v>
      </c>
      <c r="K53" s="22">
        <v>11</v>
      </c>
      <c r="L53" s="36">
        <f t="shared" si="8"/>
        <v>0.19510686734429927</v>
      </c>
    </row>
    <row r="54" spans="1:12" ht="12.75">
      <c r="A54" s="22">
        <v>11.5</v>
      </c>
      <c r="B54" s="17">
        <f t="shared" si="0"/>
        <v>0.9999898699064014</v>
      </c>
      <c r="C54" s="17">
        <f t="shared" si="1"/>
        <v>-5.500000000025655</v>
      </c>
      <c r="D54" s="24">
        <f t="shared" si="2"/>
        <v>0.003926528429248588</v>
      </c>
      <c r="E54" s="28">
        <f t="shared" si="6"/>
        <v>0.4817390952019053</v>
      </c>
      <c r="F54" s="28">
        <f t="shared" si="7"/>
        <v>0.5000004051524346</v>
      </c>
      <c r="H54" s="22">
        <v>11.5</v>
      </c>
      <c r="I54" s="28">
        <v>0.0391</v>
      </c>
      <c r="K54" s="22">
        <v>11.5</v>
      </c>
      <c r="L54" s="36">
        <f t="shared" si="8"/>
        <v>0.19592936860116134</v>
      </c>
    </row>
    <row r="55" spans="1:12" ht="12.75">
      <c r="A55" s="22">
        <v>12</v>
      </c>
      <c r="B55" s="17">
        <f t="shared" si="0"/>
        <v>0.9999938557876467</v>
      </c>
      <c r="C55" s="17">
        <f t="shared" si="1"/>
        <v>-5.750000000009438</v>
      </c>
      <c r="D55" s="24">
        <f t="shared" si="2"/>
        <v>0.003057982927950215</v>
      </c>
      <c r="E55" s="28">
        <f t="shared" si="6"/>
        <v>0.4824999795200786</v>
      </c>
      <c r="F55" s="28">
        <f t="shared" si="7"/>
        <v>0.5000002457496184</v>
      </c>
      <c r="H55" s="22">
        <v>12</v>
      </c>
      <c r="I55" s="28">
        <v>0.039</v>
      </c>
      <c r="K55" s="22">
        <v>12</v>
      </c>
      <c r="L55" s="36">
        <f t="shared" si="8"/>
        <v>0.19669223183431017</v>
      </c>
    </row>
    <row r="56" spans="1:12" ht="12.75">
      <c r="A56" s="22">
        <v>12.5</v>
      </c>
      <c r="B56" s="17">
        <f t="shared" si="0"/>
        <v>0.999996273346828</v>
      </c>
      <c r="C56" s="17">
        <f t="shared" si="1"/>
        <v>-6.000000000003472</v>
      </c>
      <c r="D56" s="24">
        <f t="shared" si="2"/>
        <v>0.002381559268618391</v>
      </c>
      <c r="E56" s="28">
        <f t="shared" si="6"/>
        <v>0.48319998807498765</v>
      </c>
      <c r="F56" s="28">
        <f t="shared" si="7"/>
        <v>0.5000001490591829</v>
      </c>
      <c r="H56" s="22">
        <v>12.5</v>
      </c>
      <c r="I56" s="28">
        <v>0.0389</v>
      </c>
      <c r="K56" s="22">
        <v>12.5</v>
      </c>
      <c r="L56" s="36">
        <f t="shared" si="8"/>
        <v>0.19740247940343417</v>
      </c>
    </row>
    <row r="57" spans="1:12" ht="12.75">
      <c r="A57" s="22">
        <v>13</v>
      </c>
      <c r="B57" s="17">
        <f t="shared" si="0"/>
        <v>0.999997739670593</v>
      </c>
      <c r="C57" s="17">
        <f t="shared" si="1"/>
        <v>-6.250000000001277</v>
      </c>
      <c r="D57" s="24">
        <f t="shared" si="2"/>
        <v>0.0018547601145478803</v>
      </c>
      <c r="E57" s="28">
        <f t="shared" si="6"/>
        <v>0.4838461468913924</v>
      </c>
      <c r="F57" s="28">
        <f t="shared" si="7"/>
        <v>0.5000000904106218</v>
      </c>
      <c r="H57" s="22">
        <v>13</v>
      </c>
      <c r="I57" s="28">
        <v>0.0388</v>
      </c>
      <c r="K57" s="22">
        <v>13</v>
      </c>
      <c r="L57" s="36">
        <f t="shared" si="8"/>
        <v>0.1980660728628748</v>
      </c>
    </row>
    <row r="58" spans="1:12" ht="12.75">
      <c r="A58" s="22">
        <v>13.5</v>
      </c>
      <c r="B58" s="17">
        <f t="shared" si="0"/>
        <v>0.9999986290409136</v>
      </c>
      <c r="C58" s="17">
        <f t="shared" si="1"/>
        <v>-6.50000000000047</v>
      </c>
      <c r="D58" s="24">
        <f t="shared" si="2"/>
        <v>0.0014444885782332517</v>
      </c>
      <c r="E58" s="28">
        <f t="shared" si="6"/>
        <v>0.48444444038237827</v>
      </c>
      <c r="F58" s="28">
        <f t="shared" si="7"/>
        <v>0.5000000548374237</v>
      </c>
      <c r="H58" s="22">
        <v>13.5</v>
      </c>
      <c r="I58" s="28">
        <v>0.0387</v>
      </c>
      <c r="K58" s="22">
        <v>13.5</v>
      </c>
      <c r="L58" s="36">
        <f t="shared" si="8"/>
        <v>0.19868810613179957</v>
      </c>
    </row>
    <row r="59" spans="1:12" ht="12.75">
      <c r="A59" s="22">
        <v>14</v>
      </c>
      <c r="B59" s="17">
        <f t="shared" si="0"/>
        <v>0.9999991684712809</v>
      </c>
      <c r="C59" s="17">
        <f t="shared" si="1"/>
        <v>-6.750000000000173</v>
      </c>
      <c r="D59" s="24">
        <f t="shared" si="2"/>
        <v>0.0011249688115923964</v>
      </c>
      <c r="E59" s="28">
        <f t="shared" si="6"/>
        <v>0.48499999762421603</v>
      </c>
      <c r="F59" s="28">
        <f t="shared" si="7"/>
        <v>0.5000000332608031</v>
      </c>
      <c r="H59" s="22">
        <v>14</v>
      </c>
      <c r="I59" s="28">
        <v>0.0386</v>
      </c>
      <c r="K59" s="22">
        <v>14</v>
      </c>
      <c r="L59" s="36">
        <f t="shared" si="8"/>
        <v>0.19927295787890006</v>
      </c>
    </row>
    <row r="60" spans="1:12" ht="12.75">
      <c r="A60" s="22">
        <v>14.5</v>
      </c>
      <c r="B60" s="17">
        <f t="shared" si="0"/>
        <v>0.9999994956523375</v>
      </c>
      <c r="C60" s="17">
        <f t="shared" si="1"/>
        <v>-7.000000000000063</v>
      </c>
      <c r="D60" s="24">
        <f t="shared" si="2"/>
        <v>0.0008761265799330817</v>
      </c>
      <c r="E60" s="28">
        <f t="shared" si="6"/>
        <v>0.48551723998801083</v>
      </c>
      <c r="F60" s="28">
        <f t="shared" si="7"/>
        <v>0.5000000201737793</v>
      </c>
      <c r="H60" s="22">
        <v>14.5</v>
      </c>
      <c r="I60" s="28">
        <v>0.0385</v>
      </c>
      <c r="K60" s="22">
        <v>14.5</v>
      </c>
      <c r="L60" s="36">
        <f t="shared" si="8"/>
        <v>0.19982441284649888</v>
      </c>
    </row>
    <row r="61" spans="1:12" ht="12.75">
      <c r="A61" s="22">
        <v>15</v>
      </c>
      <c r="B61" s="17">
        <f t="shared" si="0"/>
        <v>0.9999996940976795</v>
      </c>
      <c r="C61" s="17">
        <f t="shared" si="1"/>
        <v>-7.250000000000023</v>
      </c>
      <c r="D61" s="24">
        <f t="shared" si="2"/>
        <v>0.0006823280611053904</v>
      </c>
      <c r="E61" s="28">
        <f t="shared" si="6"/>
        <v>0.485999999184262</v>
      </c>
      <c r="F61" s="28">
        <f t="shared" si="7"/>
        <v>0.5000000122360461</v>
      </c>
      <c r="H61" s="22">
        <v>15</v>
      </c>
      <c r="I61" s="28">
        <v>0.0385</v>
      </c>
      <c r="K61" s="22">
        <v>15</v>
      </c>
      <c r="L61" s="36">
        <f t="shared" si="8"/>
        <v>0.20025624926991453</v>
      </c>
    </row>
    <row r="62" spans="1:12" ht="12.75">
      <c r="A62" s="22">
        <v>15.5</v>
      </c>
      <c r="B62" s="17">
        <f t="shared" si="0"/>
        <v>0.9999998144608637</v>
      </c>
      <c r="C62" s="17">
        <f t="shared" si="1"/>
        <v>-7.500000000000009</v>
      </c>
      <c r="D62" s="24">
        <f t="shared" si="2"/>
        <v>0.0005313976257420506</v>
      </c>
      <c r="E62" s="28">
        <f t="shared" si="6"/>
        <v>0.4864516124244157</v>
      </c>
      <c r="F62" s="28">
        <f t="shared" si="7"/>
        <v>0.5000000074215483</v>
      </c>
      <c r="H62" s="22">
        <v>15.5</v>
      </c>
      <c r="I62" s="28">
        <v>0.0384</v>
      </c>
      <c r="K62" s="22">
        <v>15.5</v>
      </c>
      <c r="L62" s="36">
        <f t="shared" si="8"/>
        <v>0.20075024739611882</v>
      </c>
    </row>
    <row r="63" spans="1:12" ht="12.75">
      <c r="A63" s="22">
        <v>16</v>
      </c>
      <c r="B63" s="17">
        <f t="shared" si="0"/>
        <v>0.9999998874648253</v>
      </c>
      <c r="C63" s="17">
        <f t="shared" si="1"/>
        <v>-7.750000000000003</v>
      </c>
      <c r="D63" s="24">
        <f t="shared" si="2"/>
        <v>0.0004138528858416809</v>
      </c>
      <c r="E63" s="28">
        <f t="shared" si="6"/>
        <v>0.4868749997186622</v>
      </c>
      <c r="F63" s="28">
        <f t="shared" si="7"/>
        <v>0.5000000045014006</v>
      </c>
      <c r="H63" s="22">
        <v>16</v>
      </c>
      <c r="I63" s="28">
        <v>0.0383</v>
      </c>
      <c r="K63" s="22">
        <v>16</v>
      </c>
      <c r="L63" s="36">
        <f t="shared" si="8"/>
        <v>0.2012195303725978</v>
      </c>
    </row>
    <row r="64" spans="1:12" ht="12.75">
      <c r="A64" s="22">
        <v>16.5</v>
      </c>
      <c r="B64" s="17">
        <f aca="true" t="shared" si="9" ref="B64:B91">(1-EXP(-$B$3*A64))/($B$3)</f>
        <v>0.9999999317439663</v>
      </c>
      <c r="C64" s="17">
        <f aca="true" t="shared" si="10" ref="C64:C91">(B64-A64)*$B$11-(($B$5^2)/(4*$B$3))*(B64^2)</f>
        <v>-8.000000000000002</v>
      </c>
      <c r="D64" s="24">
        <f aca="true" t="shared" si="11" ref="D64:D91">EXP(C64-B64*$B$6)</f>
        <v>0.00032230895099899965</v>
      </c>
      <c r="E64" s="28">
        <f t="shared" si="6"/>
        <v>0.48727272710725816</v>
      </c>
      <c r="F64" s="28">
        <f t="shared" si="7"/>
        <v>0.500000002730239</v>
      </c>
      <c r="H64" s="22">
        <v>16.5</v>
      </c>
      <c r="I64" s="28">
        <v>0.0383</v>
      </c>
      <c r="K64" s="22">
        <v>16.5</v>
      </c>
      <c r="L64" s="36">
        <f t="shared" si="8"/>
        <v>0.2015765096861285</v>
      </c>
    </row>
    <row r="65" spans="1:12" ht="12.75">
      <c r="A65" s="22">
        <v>17</v>
      </c>
      <c r="B65" s="17">
        <f t="shared" si="9"/>
        <v>0.9999999586006229</v>
      </c>
      <c r="C65" s="17">
        <f t="shared" si="10"/>
        <v>-8.250000000000002</v>
      </c>
      <c r="D65" s="24">
        <f t="shared" si="11"/>
        <v>0.00025101446315928765</v>
      </c>
      <c r="E65" s="28">
        <f aca="true" t="shared" si="12" ref="E65:E80">-LN(D65)/A65</f>
        <v>0.4876470587261192</v>
      </c>
      <c r="F65" s="28">
        <f aca="true" t="shared" si="13" ref="F65:F80">EXP(-$B$3*A65)*($B$6-$B$11)+$B$11+(($B$5^2)/(2*($B$3^2)))*(EXP(-$B$3*A65)-EXP(-2*$B$3*A65))</f>
        <v>0.5000000016559742</v>
      </c>
      <c r="H65" s="22">
        <v>17</v>
      </c>
      <c r="I65" s="28">
        <v>0.0382</v>
      </c>
      <c r="K65" s="22">
        <v>17</v>
      </c>
      <c r="L65" s="36">
        <f aca="true" t="shared" si="14" ref="L65:L80">(I65-E65)^2</f>
        <v>0.20200265859755961</v>
      </c>
    </row>
    <row r="66" spans="1:12" ht="12.75">
      <c r="A66" s="22">
        <v>17.5</v>
      </c>
      <c r="B66" s="17">
        <f t="shared" si="9"/>
        <v>0.9999999748900085</v>
      </c>
      <c r="C66" s="17">
        <f t="shared" si="10"/>
        <v>-8.5</v>
      </c>
      <c r="D66" s="24">
        <f t="shared" si="11"/>
        <v>0.000195490260343325</v>
      </c>
      <c r="E66" s="28">
        <f t="shared" si="12"/>
        <v>0.48799999994260573</v>
      </c>
      <c r="F66" s="28">
        <f t="shared" si="13"/>
        <v>0.5000000010043993</v>
      </c>
      <c r="H66" s="22">
        <v>17.5</v>
      </c>
      <c r="I66" s="28">
        <v>0.0382</v>
      </c>
      <c r="K66" s="22">
        <v>17.5</v>
      </c>
      <c r="L66" s="36">
        <f t="shared" si="14"/>
        <v>0.2023200399483681</v>
      </c>
    </row>
    <row r="67" spans="1:12" ht="12.75">
      <c r="A67" s="22">
        <v>18</v>
      </c>
      <c r="B67" s="17">
        <f t="shared" si="9"/>
        <v>0.9999999847700203</v>
      </c>
      <c r="C67" s="17">
        <f t="shared" si="10"/>
        <v>-8.75</v>
      </c>
      <c r="D67" s="24">
        <f t="shared" si="11"/>
        <v>0.00015224796777804587</v>
      </c>
      <c r="E67" s="28">
        <f t="shared" si="12"/>
        <v>0.48833333329948897</v>
      </c>
      <c r="F67" s="28">
        <f t="shared" si="13"/>
        <v>0.5000000006091991</v>
      </c>
      <c r="H67" s="22">
        <v>18</v>
      </c>
      <c r="I67" s="28">
        <v>0.0381</v>
      </c>
      <c r="K67" s="22">
        <v>18</v>
      </c>
      <c r="L67" s="36">
        <f t="shared" si="14"/>
        <v>0.2027100544139687</v>
      </c>
    </row>
    <row r="68" spans="1:12" ht="12.75">
      <c r="A68" s="22">
        <v>18.5</v>
      </c>
      <c r="B68" s="17">
        <f t="shared" si="9"/>
        <v>0.9999999907625503</v>
      </c>
      <c r="C68" s="17">
        <f t="shared" si="10"/>
        <v>-9</v>
      </c>
      <c r="D68" s="24">
        <f t="shared" si="11"/>
        <v>0.00011857083649815053</v>
      </c>
      <c r="E68" s="28">
        <f t="shared" si="12"/>
        <v>0.4886486486286758</v>
      </c>
      <c r="F68" s="28">
        <f t="shared" si="13"/>
        <v>0.5000000003694979</v>
      </c>
      <c r="H68" s="22">
        <v>18.5</v>
      </c>
      <c r="I68" s="28">
        <v>0.0381</v>
      </c>
      <c r="K68" s="22">
        <v>18.5</v>
      </c>
      <c r="L68" s="36">
        <f t="shared" si="14"/>
        <v>0.20299408478112593</v>
      </c>
    </row>
    <row r="69" spans="1:12" ht="12.75">
      <c r="A69" s="22">
        <v>19</v>
      </c>
      <c r="B69" s="17">
        <f t="shared" si="9"/>
        <v>0.9999999943972036</v>
      </c>
      <c r="C69" s="17">
        <f t="shared" si="10"/>
        <v>-9.25</v>
      </c>
      <c r="D69" s="24">
        <f t="shared" si="11"/>
        <v>9.234306030076577E-05</v>
      </c>
      <c r="E69" s="28">
        <f t="shared" si="12"/>
        <v>0.4889473684092573</v>
      </c>
      <c r="F69" s="28">
        <f t="shared" si="13"/>
        <v>0.5000000002241118</v>
      </c>
      <c r="H69" s="22">
        <v>19</v>
      </c>
      <c r="I69" s="28">
        <v>0.038</v>
      </c>
      <c r="K69" s="22">
        <v>19</v>
      </c>
      <c r="L69" s="36">
        <f t="shared" si="14"/>
        <v>0.20335352907523443</v>
      </c>
    </row>
    <row r="70" spans="1:12" ht="12.75">
      <c r="A70" s="22">
        <v>19.5</v>
      </c>
      <c r="B70" s="17">
        <f t="shared" si="9"/>
        <v>0.9999999966017322</v>
      </c>
      <c r="C70" s="17">
        <f t="shared" si="10"/>
        <v>-9.5</v>
      </c>
      <c r="D70" s="24">
        <f t="shared" si="11"/>
        <v>7.19168476671047E-05</v>
      </c>
      <c r="E70" s="28">
        <f t="shared" si="12"/>
        <v>0.4892307692237984</v>
      </c>
      <c r="F70" s="28">
        <f t="shared" si="13"/>
        <v>0.5000000001359307</v>
      </c>
      <c r="H70" s="22">
        <v>19.5</v>
      </c>
      <c r="I70" s="28">
        <v>0.038</v>
      </c>
      <c r="K70" s="22">
        <v>19.5</v>
      </c>
      <c r="L70" s="36">
        <f t="shared" si="14"/>
        <v>0.2036092070943008</v>
      </c>
    </row>
    <row r="71" spans="1:12" ht="12.75">
      <c r="A71" s="22">
        <v>20</v>
      </c>
      <c r="B71" s="17">
        <f t="shared" si="9"/>
        <v>0.9999999979388464</v>
      </c>
      <c r="C71" s="17">
        <f t="shared" si="10"/>
        <v>-9.75</v>
      </c>
      <c r="D71" s="24">
        <f t="shared" si="11"/>
        <v>5.600889727617248E-05</v>
      </c>
      <c r="E71" s="28">
        <f t="shared" si="12"/>
        <v>0.4894999999958777</v>
      </c>
      <c r="F71" s="28">
        <f t="shared" si="13"/>
        <v>0.5000000000824462</v>
      </c>
      <c r="H71" s="22">
        <v>20</v>
      </c>
      <c r="I71" s="28">
        <v>0.0379</v>
      </c>
      <c r="K71" s="22">
        <v>20</v>
      </c>
      <c r="L71" s="36">
        <f t="shared" si="14"/>
        <v>0.20394255999627672</v>
      </c>
    </row>
    <row r="72" spans="1:12" ht="12.75">
      <c r="A72" s="22">
        <v>20.5</v>
      </c>
      <c r="B72" s="17">
        <f t="shared" si="9"/>
        <v>0.9999999987498471</v>
      </c>
      <c r="C72" s="17">
        <f t="shared" si="10"/>
        <v>-10</v>
      </c>
      <c r="D72" s="24">
        <f t="shared" si="11"/>
        <v>4.3619773056233906E-05</v>
      </c>
      <c r="E72" s="28">
        <f t="shared" si="12"/>
        <v>0.48975609755853633</v>
      </c>
      <c r="F72" s="28">
        <f t="shared" si="13"/>
        <v>0.5000000000500061</v>
      </c>
      <c r="H72" s="22">
        <v>20.5</v>
      </c>
      <c r="I72" s="28">
        <v>0.0379</v>
      </c>
      <c r="K72" s="22">
        <v>20.5</v>
      </c>
      <c r="L72" s="36">
        <f t="shared" si="14"/>
        <v>0.20417393290082952</v>
      </c>
    </row>
    <row r="73" spans="1:12" ht="12.75">
      <c r="A73" s="22">
        <v>21</v>
      </c>
      <c r="B73" s="17">
        <f t="shared" si="9"/>
        <v>0.999999999241744</v>
      </c>
      <c r="C73" s="17">
        <f t="shared" si="10"/>
        <v>-10.25</v>
      </c>
      <c r="D73" s="24">
        <f t="shared" si="11"/>
        <v>3.3971113412923554E-05</v>
      </c>
      <c r="E73" s="28">
        <f t="shared" si="12"/>
        <v>0.4899999999985557</v>
      </c>
      <c r="F73" s="28">
        <f t="shared" si="13"/>
        <v>0.5000000000303303</v>
      </c>
      <c r="H73" s="22">
        <v>21</v>
      </c>
      <c r="I73" s="28">
        <v>0.0378</v>
      </c>
      <c r="K73" s="22">
        <v>21</v>
      </c>
      <c r="L73" s="36">
        <f t="shared" si="14"/>
        <v>0.20448483999869377</v>
      </c>
    </row>
    <row r="74" spans="1:12" ht="12.75">
      <c r="A74" s="22">
        <v>21.5</v>
      </c>
      <c r="B74" s="17">
        <f t="shared" si="9"/>
        <v>0.9999999995400944</v>
      </c>
      <c r="C74" s="17">
        <f t="shared" si="10"/>
        <v>-10.5</v>
      </c>
      <c r="D74" s="24">
        <f t="shared" si="11"/>
        <v>2.6456729727476645E-05</v>
      </c>
      <c r="E74" s="28">
        <f t="shared" si="12"/>
        <v>0.4902325581386792</v>
      </c>
      <c r="F74" s="28">
        <f t="shared" si="13"/>
        <v>0.5000000000183962</v>
      </c>
      <c r="H74" s="22">
        <v>21.5</v>
      </c>
      <c r="I74" s="28">
        <v>0.0378</v>
      </c>
      <c r="K74" s="22">
        <v>21.5</v>
      </c>
      <c r="L74" s="36">
        <f t="shared" si="14"/>
        <v>0.20469521966390936</v>
      </c>
    </row>
    <row r="75" spans="1:12" ht="12.75">
      <c r="A75" s="22">
        <v>22</v>
      </c>
      <c r="B75" s="17">
        <f t="shared" si="9"/>
        <v>0.9999999997210532</v>
      </c>
      <c r="C75" s="17">
        <f t="shared" si="10"/>
        <v>-10.75</v>
      </c>
      <c r="D75" s="24">
        <f t="shared" si="11"/>
        <v>2.060452182911818E-05</v>
      </c>
      <c r="E75" s="28">
        <f t="shared" si="12"/>
        <v>0.49045454545403827</v>
      </c>
      <c r="F75" s="28">
        <f t="shared" si="13"/>
        <v>0.5000000000111579</v>
      </c>
      <c r="H75" s="22">
        <v>22</v>
      </c>
      <c r="I75" s="28">
        <v>0.0377</v>
      </c>
      <c r="K75" s="22">
        <v>22</v>
      </c>
      <c r="L75" s="36">
        <f t="shared" si="14"/>
        <v>0.2049866784292928</v>
      </c>
    </row>
    <row r="76" spans="1:12" ht="12.75">
      <c r="A76" s="22">
        <v>22.5</v>
      </c>
      <c r="B76" s="17">
        <f t="shared" si="9"/>
        <v>0.9999999998308102</v>
      </c>
      <c r="C76" s="17">
        <f t="shared" si="10"/>
        <v>-11</v>
      </c>
      <c r="D76" s="24">
        <f t="shared" si="11"/>
        <v>1.604681773525863E-05</v>
      </c>
      <c r="E76" s="28">
        <f t="shared" si="12"/>
        <v>0.49066666666636594</v>
      </c>
      <c r="F76" s="28">
        <f t="shared" si="13"/>
        <v>0.5000000000067676</v>
      </c>
      <c r="H76" s="22">
        <v>22.5</v>
      </c>
      <c r="I76" s="28">
        <v>0.0377</v>
      </c>
      <c r="K76" s="22">
        <v>22.5</v>
      </c>
      <c r="L76" s="36">
        <f t="shared" si="14"/>
        <v>0.20517880111083867</v>
      </c>
    </row>
    <row r="77" spans="1:12" ht="12.75">
      <c r="A77" s="22">
        <v>23</v>
      </c>
      <c r="B77" s="17">
        <f t="shared" si="9"/>
        <v>0.9999999998973812</v>
      </c>
      <c r="C77" s="17">
        <f t="shared" si="10"/>
        <v>-11.25</v>
      </c>
      <c r="D77" s="24">
        <f t="shared" si="11"/>
        <v>1.2497274217990252E-05</v>
      </c>
      <c r="E77" s="28">
        <f t="shared" si="12"/>
        <v>0.49086956521721287</v>
      </c>
      <c r="F77" s="28">
        <f t="shared" si="13"/>
        <v>0.5000000000041047</v>
      </c>
      <c r="H77" s="22">
        <v>23</v>
      </c>
      <c r="I77" s="28">
        <v>0.0377</v>
      </c>
      <c r="K77" s="22">
        <v>23</v>
      </c>
      <c r="L77" s="36">
        <f t="shared" si="14"/>
        <v>0.20536265483915775</v>
      </c>
    </row>
    <row r="78" spans="1:12" ht="12.75">
      <c r="A78" s="22">
        <v>23.5</v>
      </c>
      <c r="B78" s="17">
        <f t="shared" si="9"/>
        <v>0.9999999999377586</v>
      </c>
      <c r="C78" s="17">
        <f t="shared" si="10"/>
        <v>-11.5</v>
      </c>
      <c r="D78" s="24">
        <f t="shared" si="11"/>
        <v>9.73288694721317E-06</v>
      </c>
      <c r="E78" s="28">
        <f t="shared" si="12"/>
        <v>0.4910638297871281</v>
      </c>
      <c r="F78" s="28">
        <f t="shared" si="13"/>
        <v>0.5000000000024897</v>
      </c>
      <c r="H78" s="22">
        <v>23.5</v>
      </c>
      <c r="I78" s="28">
        <v>0.0376</v>
      </c>
      <c r="K78" s="22">
        <v>23.5</v>
      </c>
      <c r="L78" s="36">
        <f t="shared" si="14"/>
        <v>0.20562944492520946</v>
      </c>
    </row>
    <row r="79" spans="1:12" ht="12.75">
      <c r="A79" s="22">
        <v>24</v>
      </c>
      <c r="B79" s="17">
        <f t="shared" si="9"/>
        <v>0.9999999999622486</v>
      </c>
      <c r="C79" s="17">
        <f t="shared" si="10"/>
        <v>-11.75</v>
      </c>
      <c r="D79" s="24">
        <f t="shared" si="11"/>
        <v>7.5799799760276536E-06</v>
      </c>
      <c r="E79" s="28">
        <f t="shared" si="12"/>
        <v>0.49124999999993707</v>
      </c>
      <c r="F79" s="28">
        <f t="shared" si="13"/>
        <v>0.50000000000151</v>
      </c>
      <c r="H79" s="22">
        <v>24</v>
      </c>
      <c r="I79" s="28">
        <v>0.0376</v>
      </c>
      <c r="K79" s="22">
        <v>24</v>
      </c>
      <c r="L79" s="36">
        <f t="shared" si="14"/>
        <v>0.20579832249994287</v>
      </c>
    </row>
    <row r="80" spans="1:12" ht="12.75">
      <c r="A80" s="22">
        <v>24.5</v>
      </c>
      <c r="B80" s="17">
        <f t="shared" si="9"/>
        <v>0.9999999999771026</v>
      </c>
      <c r="C80" s="17">
        <f t="shared" si="10"/>
        <v>-12</v>
      </c>
      <c r="D80" s="24">
        <f t="shared" si="11"/>
        <v>5.903294340992392E-06</v>
      </c>
      <c r="E80" s="28">
        <f t="shared" si="12"/>
        <v>0.4914285714285341</v>
      </c>
      <c r="F80" s="28">
        <f t="shared" si="13"/>
        <v>0.5000000000009158</v>
      </c>
      <c r="H80" s="22">
        <v>24.5</v>
      </c>
      <c r="I80" s="28">
        <v>0.0376</v>
      </c>
      <c r="K80" s="22">
        <v>24.5</v>
      </c>
      <c r="L80" s="36">
        <f t="shared" si="14"/>
        <v>0.20596037224486405</v>
      </c>
    </row>
    <row r="81" spans="1:12" ht="12.75">
      <c r="A81" s="22">
        <v>25</v>
      </c>
      <c r="B81" s="17">
        <f t="shared" si="9"/>
        <v>0.9999999999861121</v>
      </c>
      <c r="C81" s="17">
        <f t="shared" si="10"/>
        <v>-12.25</v>
      </c>
      <c r="D81" s="24">
        <f t="shared" si="11"/>
        <v>4.59749025546421E-06</v>
      </c>
      <c r="E81" s="28">
        <f aca="true" t="shared" si="15" ref="E81:E91">-LN(D81)/A81</f>
        <v>0.4915999999999778</v>
      </c>
      <c r="F81" s="28">
        <f aca="true" t="shared" si="16" ref="F81:F91">EXP(-$B$3*A81)*($B$6-$B$11)+$B$11+(($B$5^2)/(2*($B$3^2)))*(EXP(-$B$3*A81)-EXP(-2*$B$3*A81))</f>
        <v>0.5000000000005556</v>
      </c>
      <c r="H81" s="22">
        <v>25</v>
      </c>
      <c r="I81" s="28">
        <v>0.0376</v>
      </c>
      <c r="K81" s="22">
        <v>25</v>
      </c>
      <c r="L81" s="36">
        <f aca="true" t="shared" si="17" ref="L81:L91">(I81-E81)^2</f>
        <v>0.2061159999999798</v>
      </c>
    </row>
    <row r="82" spans="1:12" ht="12.75">
      <c r="A82" s="22">
        <v>25.5</v>
      </c>
      <c r="B82" s="17">
        <f t="shared" si="9"/>
        <v>0.9999999999915765</v>
      </c>
      <c r="C82" s="17">
        <f t="shared" si="10"/>
        <v>-12.5</v>
      </c>
      <c r="D82" s="24">
        <f t="shared" si="11"/>
        <v>3.580529011117898E-06</v>
      </c>
      <c r="E82" s="28">
        <f t="shared" si="15"/>
        <v>0.4917647058823397</v>
      </c>
      <c r="F82" s="28">
        <f t="shared" si="16"/>
        <v>0.500000000000337</v>
      </c>
      <c r="H82" s="22">
        <v>25.5</v>
      </c>
      <c r="I82" s="28">
        <v>0.0375</v>
      </c>
      <c r="K82" s="22">
        <v>25.5</v>
      </c>
      <c r="L82" s="36">
        <f t="shared" si="17"/>
        <v>0.20635642301036863</v>
      </c>
    </row>
    <row r="83" spans="1:12" ht="12.75">
      <c r="A83" s="22">
        <v>26</v>
      </c>
      <c r="B83" s="17">
        <f t="shared" si="9"/>
        <v>0.9999999999948909</v>
      </c>
      <c r="C83" s="17">
        <f t="shared" si="10"/>
        <v>-12.75</v>
      </c>
      <c r="D83" s="24">
        <f t="shared" si="11"/>
        <v>2.788518797668135E-06</v>
      </c>
      <c r="E83" s="28">
        <f t="shared" si="15"/>
        <v>0.491923076923069</v>
      </c>
      <c r="F83" s="28">
        <f t="shared" si="16"/>
        <v>0.5000000000002044</v>
      </c>
      <c r="H83" s="22">
        <v>26</v>
      </c>
      <c r="I83" s="28">
        <v>0.0375</v>
      </c>
      <c r="K83" s="22">
        <v>26</v>
      </c>
      <c r="L83" s="36">
        <f t="shared" si="17"/>
        <v>0.20650033284022953</v>
      </c>
    </row>
    <row r="84" spans="1:12" ht="12.75">
      <c r="A84" s="22">
        <v>26.5</v>
      </c>
      <c r="B84" s="17">
        <f t="shared" si="9"/>
        <v>0.9999999999969011</v>
      </c>
      <c r="C84" s="17">
        <f t="shared" si="10"/>
        <v>-13</v>
      </c>
      <c r="D84" s="24">
        <f t="shared" si="11"/>
        <v>2.1717006232330985E-06</v>
      </c>
      <c r="E84" s="28">
        <f t="shared" si="15"/>
        <v>0.49207547169810856</v>
      </c>
      <c r="F84" s="28">
        <f t="shared" si="16"/>
        <v>0.5000000000001239</v>
      </c>
      <c r="H84" s="22">
        <v>26.5</v>
      </c>
      <c r="I84" s="28">
        <v>0.0375</v>
      </c>
      <c r="K84" s="22">
        <v>26.5</v>
      </c>
      <c r="L84" s="36">
        <f t="shared" si="17"/>
        <v>0.2066388594695579</v>
      </c>
    </row>
    <row r="85" spans="1:12" ht="12.75">
      <c r="A85" s="22">
        <v>27</v>
      </c>
      <c r="B85" s="17">
        <f t="shared" si="9"/>
        <v>0.9999999999981205</v>
      </c>
      <c r="C85" s="17">
        <f t="shared" si="10"/>
        <v>-13.25</v>
      </c>
      <c r="D85" s="24">
        <f t="shared" si="11"/>
        <v>1.691322145970514E-06</v>
      </c>
      <c r="E85" s="28">
        <f t="shared" si="15"/>
        <v>0.49222222222221945</v>
      </c>
      <c r="F85" s="28">
        <f t="shared" si="16"/>
        <v>0.5000000000000752</v>
      </c>
      <c r="H85" s="22">
        <v>27</v>
      </c>
      <c r="I85" s="28">
        <v>0.0374</v>
      </c>
      <c r="K85" s="22">
        <v>27</v>
      </c>
      <c r="L85" s="36">
        <f t="shared" si="17"/>
        <v>0.20686325382715798</v>
      </c>
    </row>
    <row r="86" spans="1:12" ht="12.75">
      <c r="A86" s="22">
        <v>27.5</v>
      </c>
      <c r="B86" s="17">
        <f t="shared" si="9"/>
        <v>0.99999999999886</v>
      </c>
      <c r="C86" s="17">
        <f t="shared" si="10"/>
        <v>-13.5</v>
      </c>
      <c r="D86" s="24">
        <f t="shared" si="11"/>
        <v>1.3172030117078054E-06</v>
      </c>
      <c r="E86" s="28">
        <f t="shared" si="15"/>
        <v>0.4923636363636347</v>
      </c>
      <c r="F86" s="28">
        <f t="shared" si="16"/>
        <v>0.5000000000000456</v>
      </c>
      <c r="H86" s="22">
        <v>27.5</v>
      </c>
      <c r="I86" s="28">
        <v>0.0374</v>
      </c>
      <c r="K86" s="22">
        <v>27.5</v>
      </c>
      <c r="L86" s="36">
        <f t="shared" si="17"/>
        <v>0.20699191041322165</v>
      </c>
    </row>
    <row r="87" spans="1:12" ht="12.75">
      <c r="A87" s="22">
        <v>28</v>
      </c>
      <c r="B87" s="17">
        <f t="shared" si="9"/>
        <v>0.9999999999993086</v>
      </c>
      <c r="C87" s="17">
        <f t="shared" si="10"/>
        <v>-13.75</v>
      </c>
      <c r="D87" s="24">
        <f t="shared" si="11"/>
        <v>1.0258387369820336E-06</v>
      </c>
      <c r="E87" s="28">
        <f t="shared" si="15"/>
        <v>0.492499999999999</v>
      </c>
      <c r="F87" s="28">
        <f t="shared" si="16"/>
        <v>0.5000000000000276</v>
      </c>
      <c r="H87" s="22">
        <v>28</v>
      </c>
      <c r="I87" s="28">
        <v>0.0374</v>
      </c>
      <c r="K87" s="22">
        <v>28</v>
      </c>
      <c r="L87" s="36">
        <f t="shared" si="17"/>
        <v>0.2071160099999991</v>
      </c>
    </row>
    <row r="88" spans="1:12" ht="12.75">
      <c r="A88" s="22">
        <v>28.5</v>
      </c>
      <c r="B88" s="17">
        <f t="shared" si="9"/>
        <v>0.9999999999995807</v>
      </c>
      <c r="C88" s="17">
        <f t="shared" si="10"/>
        <v>-14</v>
      </c>
      <c r="D88" s="24">
        <f t="shared" si="11"/>
        <v>7.989240116665801E-07</v>
      </c>
      <c r="E88" s="28">
        <f t="shared" si="15"/>
        <v>0.4926315789473678</v>
      </c>
      <c r="F88" s="28">
        <f t="shared" si="16"/>
        <v>0.5000000000000168</v>
      </c>
      <c r="H88" s="22">
        <v>28.5</v>
      </c>
      <c r="I88" s="28">
        <v>0.0374</v>
      </c>
      <c r="K88" s="22">
        <v>28.5</v>
      </c>
      <c r="L88" s="36">
        <f t="shared" si="17"/>
        <v>0.2072357904709136</v>
      </c>
    </row>
    <row r="89" spans="1:12" ht="12.75">
      <c r="A89" s="22">
        <v>29</v>
      </c>
      <c r="B89" s="17">
        <f t="shared" si="9"/>
        <v>0.9999999999997456</v>
      </c>
      <c r="C89" s="17">
        <f t="shared" si="10"/>
        <v>-14.25</v>
      </c>
      <c r="D89" s="24">
        <f t="shared" si="11"/>
        <v>6.222026459004764E-07</v>
      </c>
      <c r="E89" s="28">
        <f t="shared" si="15"/>
        <v>0.4927586206896548</v>
      </c>
      <c r="F89" s="28">
        <f t="shared" si="16"/>
        <v>0.5000000000000102</v>
      </c>
      <c r="H89" s="22">
        <v>29</v>
      </c>
      <c r="I89" s="28">
        <v>0.0374</v>
      </c>
      <c r="K89" s="22">
        <v>29</v>
      </c>
      <c r="L89" s="36">
        <f t="shared" si="17"/>
        <v>0.20735147343638494</v>
      </c>
    </row>
    <row r="90" spans="1:12" ht="12.75">
      <c r="A90" s="22">
        <v>29.5</v>
      </c>
      <c r="B90" s="17">
        <f t="shared" si="9"/>
        <v>0.9999999999998457</v>
      </c>
      <c r="C90" s="17">
        <f t="shared" si="10"/>
        <v>-14.5</v>
      </c>
      <c r="D90" s="24">
        <f t="shared" si="11"/>
        <v>4.845719078563893E-07</v>
      </c>
      <c r="E90" s="28">
        <f t="shared" si="15"/>
        <v>0.49288135593220317</v>
      </c>
      <c r="F90" s="28">
        <f t="shared" si="16"/>
        <v>0.5000000000000062</v>
      </c>
      <c r="H90" s="22">
        <v>29.5</v>
      </c>
      <c r="I90" s="28">
        <v>0.0373</v>
      </c>
      <c r="K90" s="22">
        <v>29.5</v>
      </c>
      <c r="L90" s="36">
        <f t="shared" si="17"/>
        <v>0.20755437187302478</v>
      </c>
    </row>
    <row r="91" spans="1:12" ht="13.5" thickBot="1">
      <c r="A91" s="23">
        <v>30</v>
      </c>
      <c r="B91" s="14">
        <f t="shared" si="9"/>
        <v>0.9999999999999064</v>
      </c>
      <c r="C91" s="14">
        <f t="shared" si="10"/>
        <v>-14.75</v>
      </c>
      <c r="D91" s="25">
        <f t="shared" si="11"/>
        <v>3.7738498129296E-07</v>
      </c>
      <c r="E91" s="26">
        <f t="shared" si="15"/>
        <v>0.4929999999999998</v>
      </c>
      <c r="F91" s="26">
        <f t="shared" si="16"/>
        <v>0.5000000000000038</v>
      </c>
      <c r="H91" s="23">
        <v>30</v>
      </c>
      <c r="I91" s="26">
        <v>0.0373</v>
      </c>
      <c r="K91" s="23">
        <v>30</v>
      </c>
      <c r="L91" s="37">
        <f t="shared" si="17"/>
        <v>0.20766248999999984</v>
      </c>
    </row>
    <row r="92" ht="13.5" thickTop="1"/>
  </sheetData>
  <printOptions gridLines="1"/>
  <pageMargins left="0.75" right="0.75" top="1" bottom="1" header="0.5" footer="0.5"/>
  <pageSetup horizontalDpi="200" verticalDpi="2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15.28125" style="0" customWidth="1"/>
  </cols>
  <sheetData>
    <row r="1" ht="15.75">
      <c r="A1" s="38" t="s">
        <v>18</v>
      </c>
    </row>
    <row r="4" spans="1:2" ht="13.5" thickBot="1">
      <c r="A4" s="5" t="s">
        <v>1</v>
      </c>
      <c r="B4" s="6"/>
    </row>
    <row r="5" spans="1:2" ht="13.5" thickTop="1">
      <c r="A5" s="2" t="s">
        <v>2</v>
      </c>
      <c r="B5" s="19">
        <v>0.3</v>
      </c>
    </row>
    <row r="6" spans="1:2" ht="13.5" thickBot="1">
      <c r="A6" s="63" t="s">
        <v>3</v>
      </c>
      <c r="B6" s="64">
        <v>0.05</v>
      </c>
    </row>
    <row r="7" ht="13.5" thickTop="1"/>
    <row r="9" spans="2:8" ht="13.5" thickBot="1">
      <c r="B9" s="39" t="s">
        <v>19</v>
      </c>
      <c r="F9" s="40" t="s">
        <v>20</v>
      </c>
      <c r="G9" s="6"/>
      <c r="H9" s="6"/>
    </row>
    <row r="10" spans="1:8" ht="13.5" thickTop="1">
      <c r="A10" s="41" t="s">
        <v>21</v>
      </c>
      <c r="B10" s="42"/>
      <c r="C10" s="43"/>
      <c r="D10" s="44">
        <f>Sheet3!P4</f>
        <v>0.9598043126611754</v>
      </c>
      <c r="F10" s="45"/>
      <c r="G10" s="46"/>
      <c r="H10" s="47" t="s">
        <v>22</v>
      </c>
    </row>
    <row r="11" spans="1:8" ht="12.75">
      <c r="A11" s="48" t="s">
        <v>23</v>
      </c>
      <c r="B11" s="49"/>
      <c r="C11" s="50"/>
      <c r="D11" s="51">
        <f>D10/D12</f>
        <v>0.9794975559441862</v>
      </c>
      <c r="F11" s="52" t="s">
        <v>24</v>
      </c>
      <c r="G11" s="50"/>
      <c r="H11" s="53">
        <f>D10*B20-D11*D12*D20</f>
        <v>0.0058423847712546495</v>
      </c>
    </row>
    <row r="12" spans="1:8" ht="13.5" thickBot="1">
      <c r="A12" s="54" t="s">
        <v>25</v>
      </c>
      <c r="B12" s="49"/>
      <c r="C12" s="50"/>
      <c r="D12" s="51">
        <f>Sheet3!P3</f>
        <v>0.979894545766347</v>
      </c>
      <c r="F12" s="55" t="s">
        <v>26</v>
      </c>
      <c r="G12" s="56"/>
      <c r="H12" s="57">
        <f>H11-D10+D11*D12</f>
        <v>0.0058423847712546495</v>
      </c>
    </row>
    <row r="13" spans="1:4" ht="13.5" thickTop="1">
      <c r="A13" s="48" t="s">
        <v>27</v>
      </c>
      <c r="B13" s="49"/>
      <c r="C13" s="50"/>
      <c r="D13" s="58">
        <v>0.5</v>
      </c>
    </row>
    <row r="14" spans="1:7" ht="12.75">
      <c r="A14" s="48" t="s">
        <v>28</v>
      </c>
      <c r="B14" s="49"/>
      <c r="C14" s="50"/>
      <c r="D14" s="58">
        <v>1</v>
      </c>
      <c r="G14" s="59"/>
    </row>
    <row r="15" spans="1:4" ht="13.5" thickBot="1">
      <c r="A15" s="60" t="s">
        <v>29</v>
      </c>
      <c r="B15" s="61"/>
      <c r="C15" s="56"/>
      <c r="D15" s="65">
        <f>(B6/B5)*(1-EXP(-B5*(D14-D13)))*SQRT((1-EXP(-2*B5*D13))/(2*B5))</f>
        <v>0.01525814035833511</v>
      </c>
    </row>
    <row r="16" ht="13.5" thickTop="1">
      <c r="A16" t="s">
        <v>30</v>
      </c>
    </row>
    <row r="19" spans="1:4" ht="15.75">
      <c r="A19" s="62" t="s">
        <v>31</v>
      </c>
      <c r="B19">
        <f>(LN(D10/(D11*D12))+(D15^2)/2)/D15</f>
        <v>0.007629070179167555</v>
      </c>
      <c r="C19" s="62" t="s">
        <v>32</v>
      </c>
      <c r="D19">
        <f>B19-D15</f>
        <v>-0.007629070179167555</v>
      </c>
    </row>
    <row r="20" spans="1:4" ht="15.75">
      <c r="A20" s="62" t="s">
        <v>33</v>
      </c>
      <c r="B20">
        <f>NORMSDIST(B19)</f>
        <v>0.5030435291309829</v>
      </c>
      <c r="C20" s="62" t="s">
        <v>34</v>
      </c>
      <c r="D20">
        <f>NORMSDIST(D19)</f>
        <v>0.49695647086901706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4" sqref="A14"/>
    </sheetView>
  </sheetViews>
  <sheetFormatPr defaultColWidth="9.140625" defaultRowHeight="12.75"/>
  <sheetData>
    <row r="1" spans="1:10" ht="13.5" thickBot="1">
      <c r="A1" s="5" t="s">
        <v>1</v>
      </c>
      <c r="B1" s="6"/>
      <c r="D1" s="5" t="s">
        <v>1</v>
      </c>
      <c r="E1" s="6"/>
      <c r="I1" s="5" t="s">
        <v>1</v>
      </c>
      <c r="J1" s="6"/>
    </row>
    <row r="2" spans="1:18" ht="15.75" thickBot="1" thickTop="1">
      <c r="A2" s="2" t="s">
        <v>2</v>
      </c>
      <c r="B2" s="19">
        <v>0.3</v>
      </c>
      <c r="D2" s="2" t="s">
        <v>2</v>
      </c>
      <c r="E2" s="19">
        <v>0.29949638072370455</v>
      </c>
      <c r="I2" s="66" t="s">
        <v>37</v>
      </c>
      <c r="J2" s="19">
        <v>0.3</v>
      </c>
      <c r="M2" s="68" t="s">
        <v>42</v>
      </c>
      <c r="N2" s="16" t="s">
        <v>40</v>
      </c>
      <c r="O2" s="16" t="s">
        <v>41</v>
      </c>
      <c r="P2" s="16" t="s">
        <v>15</v>
      </c>
      <c r="Q2" s="27" t="s">
        <v>36</v>
      </c>
      <c r="R2" s="27" t="s">
        <v>16</v>
      </c>
    </row>
    <row r="3" spans="1:18" ht="13.5" thickTop="1">
      <c r="A3" s="3" t="s">
        <v>35</v>
      </c>
      <c r="B3" s="20">
        <v>0.05</v>
      </c>
      <c r="D3" s="3" t="s">
        <v>35</v>
      </c>
      <c r="E3" s="20">
        <v>0.049982166736746325</v>
      </c>
      <c r="I3" s="67" t="s">
        <v>38</v>
      </c>
      <c r="J3" s="20">
        <v>0.05</v>
      </c>
      <c r="M3" s="22">
        <v>0.5</v>
      </c>
      <c r="N3" s="17">
        <v>0.4643067452498073</v>
      </c>
      <c r="O3" s="17">
        <v>-0.001738049658377381</v>
      </c>
      <c r="P3" s="24">
        <v>0.979894545766347</v>
      </c>
      <c r="Q3" s="28">
        <v>0.04062063893673924</v>
      </c>
      <c r="R3" s="28">
        <v>0.04112344429364384</v>
      </c>
    </row>
    <row r="4" spans="1:18" ht="12.75">
      <c r="A4" s="3" t="s">
        <v>3</v>
      </c>
      <c r="B4" s="20">
        <v>0.05</v>
      </c>
      <c r="D4" s="3" t="s">
        <v>3</v>
      </c>
      <c r="E4" s="20">
        <v>0.04988714094143946</v>
      </c>
      <c r="I4" s="67" t="s">
        <v>39</v>
      </c>
      <c r="J4" s="20">
        <v>0.05</v>
      </c>
      <c r="M4" s="22">
        <v>1</v>
      </c>
      <c r="N4" s="17">
        <v>0.8639392643942738</v>
      </c>
      <c r="O4" s="17">
        <v>-0.006468285700822304</v>
      </c>
      <c r="P4" s="24">
        <v>0.9598043126611754</v>
      </c>
      <c r="Q4" s="28">
        <v>0.04102585627659329</v>
      </c>
      <c r="R4" s="28">
        <v>0.041658828977480175</v>
      </c>
    </row>
    <row r="5" spans="1:18" ht="13.5" thickBot="1">
      <c r="A5" s="4" t="s">
        <v>4</v>
      </c>
      <c r="B5" s="21">
        <v>0.04</v>
      </c>
      <c r="D5" s="4" t="s">
        <v>4</v>
      </c>
      <c r="E5" s="21">
        <v>0.04</v>
      </c>
      <c r="I5" s="4" t="s">
        <v>4</v>
      </c>
      <c r="J5" s="21">
        <v>0.04</v>
      </c>
      <c r="M5" s="22">
        <v>1.5</v>
      </c>
      <c r="N5" s="17">
        <v>1.2079061612607556</v>
      </c>
      <c r="O5" s="17">
        <v>-0.01358749409560819</v>
      </c>
      <c r="P5" s="24">
        <v>0.9399733637591212</v>
      </c>
      <c r="Q5" s="28">
        <v>0.04126916036402559</v>
      </c>
      <c r="R5" s="28">
        <v>0.04179992186576765</v>
      </c>
    </row>
    <row r="6" spans="1:18" ht="15" thickTop="1">
      <c r="A6" s="13" t="s">
        <v>5</v>
      </c>
      <c r="B6" s="12"/>
      <c r="D6" s="13" t="s">
        <v>5</v>
      </c>
      <c r="E6" s="12"/>
      <c r="I6" s="13" t="s">
        <v>5</v>
      </c>
      <c r="J6" s="12"/>
      <c r="M6" s="22">
        <v>2</v>
      </c>
      <c r="N6" s="17">
        <v>1.503961213019912</v>
      </c>
      <c r="O6" s="17">
        <v>-0.022624802023451074</v>
      </c>
      <c r="P6" s="24">
        <v>0.9205506544511466</v>
      </c>
      <c r="Q6" s="28">
        <v>0.04139162527212378</v>
      </c>
      <c r="R6" s="28">
        <v>0.041684509476224325</v>
      </c>
    </row>
    <row r="7" spans="1:10" ht="12.75">
      <c r="A7" t="s">
        <v>6</v>
      </c>
      <c r="B7" s="12"/>
      <c r="D7" t="s">
        <v>6</v>
      </c>
      <c r="E7" s="12"/>
      <c r="I7" t="s">
        <v>6</v>
      </c>
      <c r="J7" s="12"/>
    </row>
    <row r="9" spans="1:10" ht="13.5" thickBot="1">
      <c r="A9" s="5" t="s">
        <v>7</v>
      </c>
      <c r="B9" s="6"/>
      <c r="D9" s="5" t="s">
        <v>7</v>
      </c>
      <c r="E9" s="6"/>
      <c r="I9" s="5" t="s">
        <v>7</v>
      </c>
      <c r="J9" s="6"/>
    </row>
    <row r="10" spans="1:10" ht="15.75" thickBot="1" thickTop="1">
      <c r="A10" s="9" t="s">
        <v>8</v>
      </c>
      <c r="B10" s="10">
        <f>+B3-((B4^2)/(2*(B2^2)))</f>
        <v>0.03611111111111111</v>
      </c>
      <c r="D10" s="9" t="s">
        <v>8</v>
      </c>
      <c r="E10" s="10">
        <f>+E3-((E4^2)/(2*(E2^2)))</f>
        <v>0.03610936826674538</v>
      </c>
      <c r="I10" s="9" t="s">
        <v>8</v>
      </c>
      <c r="J10" s="10">
        <f>+J3-((J4^2)/(2*(J2^2)))</f>
        <v>0.03611111111111111</v>
      </c>
    </row>
    <row r="11" ht="13.5" thickTop="1"/>
    <row r="14" spans="13:16" ht="12.75">
      <c r="M14" s="87" t="s">
        <v>42</v>
      </c>
      <c r="N14" s="88" t="s">
        <v>40</v>
      </c>
      <c r="O14" s="88" t="s">
        <v>41</v>
      </c>
      <c r="P14" s="89" t="s">
        <v>15</v>
      </c>
    </row>
    <row r="15" spans="13:16" ht="12.75">
      <c r="M15" s="83">
        <v>0.5</v>
      </c>
      <c r="N15" s="81" t="s">
        <v>76</v>
      </c>
      <c r="O15" s="81" t="s">
        <v>76</v>
      </c>
      <c r="P15" s="90" t="s">
        <v>76</v>
      </c>
    </row>
    <row r="16" spans="13:16" ht="12.75">
      <c r="M16" s="83">
        <v>1</v>
      </c>
      <c r="N16" s="81">
        <v>0.3167376438773787</v>
      </c>
      <c r="O16" s="81">
        <v>-0.02703450632626645</v>
      </c>
      <c r="P16" s="90">
        <v>0.9641227719920221</v>
      </c>
    </row>
    <row r="17" spans="13:16" ht="12.75">
      <c r="M17" s="85">
        <v>1.5</v>
      </c>
      <c r="N17" s="86">
        <v>0.3296303344872526</v>
      </c>
      <c r="O17" s="86">
        <v>-0.04625512804862574</v>
      </c>
      <c r="P17" s="91">
        <v>0.945402952053696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97"/>
  <sheetViews>
    <sheetView showGridLines="0" tabSelected="1" zoomScale="140" zoomScaleNormal="140" workbookViewId="0" topLeftCell="A21">
      <selection activeCell="A23" sqref="A23"/>
    </sheetView>
  </sheetViews>
  <sheetFormatPr defaultColWidth="9.140625" defaultRowHeight="12.75"/>
  <cols>
    <col min="8" max="8" width="12.7109375" style="0" customWidth="1"/>
    <col min="14" max="14" width="19.57421875" style="0" customWidth="1"/>
    <col min="17" max="17" width="14.28125" style="0" customWidth="1"/>
    <col min="28" max="28" width="12.140625" style="0" customWidth="1"/>
  </cols>
  <sheetData>
    <row r="1" ht="15.75">
      <c r="A1" s="38" t="s">
        <v>46</v>
      </c>
    </row>
    <row r="3" spans="2:8" ht="13.5" thickBot="1">
      <c r="B3" s="39" t="s">
        <v>19</v>
      </c>
      <c r="F3" s="40" t="s">
        <v>20</v>
      </c>
      <c r="G3" s="6"/>
      <c r="H3" s="6"/>
    </row>
    <row r="4" spans="1:8" ht="13.5" thickTop="1">
      <c r="A4" s="41" t="s">
        <v>47</v>
      </c>
      <c r="B4" s="42"/>
      <c r="C4" s="43"/>
      <c r="D4" s="44">
        <v>5</v>
      </c>
      <c r="F4" s="45"/>
      <c r="G4" s="46"/>
      <c r="H4" s="47" t="s">
        <v>22</v>
      </c>
    </row>
    <row r="5" spans="1:8" ht="12.75">
      <c r="A5" s="48" t="s">
        <v>48</v>
      </c>
      <c r="B5" s="49"/>
      <c r="C5" s="50"/>
      <c r="D5" s="70">
        <v>0.06</v>
      </c>
      <c r="F5" s="52" t="s">
        <v>24</v>
      </c>
      <c r="G5" s="50"/>
      <c r="H5" s="74">
        <f>P34*AB32+P35*AB52+P36*AB71</f>
        <v>0.11019766423268759</v>
      </c>
    </row>
    <row r="6" spans="1:8" ht="13.5" thickBot="1">
      <c r="A6" s="48" t="s">
        <v>49</v>
      </c>
      <c r="B6" s="49"/>
      <c r="C6" s="50"/>
      <c r="D6" s="70">
        <v>0.9</v>
      </c>
      <c r="F6" s="55" t="s">
        <v>26</v>
      </c>
      <c r="G6" s="56"/>
      <c r="H6" s="75">
        <f>P34*AB33+P35*AB53+P36*AB72</f>
        <v>0.007422903827345833</v>
      </c>
    </row>
    <row r="7" spans="1:4" ht="13.5" thickTop="1">
      <c r="A7" s="48" t="s">
        <v>27</v>
      </c>
      <c r="B7" s="49"/>
      <c r="C7" s="50"/>
      <c r="D7" s="58">
        <v>2</v>
      </c>
    </row>
    <row r="8" ht="12.75">
      <c r="A8" t="s">
        <v>30</v>
      </c>
    </row>
    <row r="21" spans="1:2" ht="13.5" thickBot="1">
      <c r="A21" s="5" t="s">
        <v>1</v>
      </c>
      <c r="B21" s="6"/>
    </row>
    <row r="22" spans="1:2" ht="13.5" thickTop="1">
      <c r="A22" s="2" t="s">
        <v>2</v>
      </c>
      <c r="B22" s="19">
        <v>0.3</v>
      </c>
    </row>
    <row r="23" spans="1:2" ht="12.75">
      <c r="A23" s="3" t="s">
        <v>35</v>
      </c>
      <c r="B23" s="20">
        <v>0.05</v>
      </c>
    </row>
    <row r="24" spans="1:2" ht="12.75">
      <c r="A24" s="3" t="s">
        <v>3</v>
      </c>
      <c r="B24" s="20">
        <v>0.05</v>
      </c>
    </row>
    <row r="25" spans="1:22" ht="13.5" thickBot="1">
      <c r="A25" s="4" t="s">
        <v>4</v>
      </c>
      <c r="B25" s="21">
        <v>0.04</v>
      </c>
      <c r="U25" s="5" t="s">
        <v>1</v>
      </c>
      <c r="V25" s="6"/>
    </row>
    <row r="26" spans="1:22" ht="15.75" thickBot="1" thickTop="1">
      <c r="A26" s="13" t="s">
        <v>5</v>
      </c>
      <c r="B26" s="12"/>
      <c r="K26" s="69" t="s">
        <v>43</v>
      </c>
      <c r="U26" s="2" t="s">
        <v>2</v>
      </c>
      <c r="V26" s="19">
        <f>$L$27</f>
        <v>0.3</v>
      </c>
    </row>
    <row r="27" spans="1:22" ht="14.25" thickBot="1" thickTop="1">
      <c r="A27" t="s">
        <v>6</v>
      </c>
      <c r="B27" s="12"/>
      <c r="K27" s="2" t="s">
        <v>2</v>
      </c>
      <c r="L27" s="19">
        <v>0.3</v>
      </c>
      <c r="U27" s="63" t="s">
        <v>3</v>
      </c>
      <c r="V27" s="64">
        <f>$L$29</f>
        <v>0.05</v>
      </c>
    </row>
    <row r="28" spans="11:12" ht="13.5" thickTop="1">
      <c r="K28" s="3" t="s">
        <v>35</v>
      </c>
      <c r="L28" s="20">
        <v>0.05</v>
      </c>
    </row>
    <row r="29" spans="1:12" ht="13.5" thickBot="1">
      <c r="A29" s="5" t="s">
        <v>7</v>
      </c>
      <c r="B29" s="6"/>
      <c r="K29" s="3" t="s">
        <v>3</v>
      </c>
      <c r="L29" s="20">
        <v>0.05</v>
      </c>
    </row>
    <row r="30" spans="1:28" ht="15.75" thickBot="1" thickTop="1">
      <c r="A30" s="9" t="s">
        <v>8</v>
      </c>
      <c r="B30" s="10">
        <f>+B23-((B24^2)/(2*(B22^2)))</f>
        <v>0.03611111111111111</v>
      </c>
      <c r="K30" s="4" t="s">
        <v>44</v>
      </c>
      <c r="L30" s="73">
        <v>0.08097219448681035</v>
      </c>
      <c r="V30" s="39" t="s">
        <v>19</v>
      </c>
      <c r="Z30" s="40" t="s">
        <v>20</v>
      </c>
      <c r="AA30" s="6"/>
      <c r="AB30" s="6"/>
    </row>
    <row r="31" spans="21:28" ht="13.5" thickTop="1">
      <c r="U31" s="41" t="s">
        <v>21</v>
      </c>
      <c r="V31" s="42"/>
      <c r="W31" s="43"/>
      <c r="X31" s="44">
        <f>D43</f>
        <v>0.8954515899844105</v>
      </c>
      <c r="Z31" s="45"/>
      <c r="AA31" s="46"/>
      <c r="AB31" s="47" t="s">
        <v>22</v>
      </c>
    </row>
    <row r="32" spans="21:28" ht="13.5" thickBot="1">
      <c r="U32" s="48" t="s">
        <v>23</v>
      </c>
      <c r="V32" s="49"/>
      <c r="W32" s="50"/>
      <c r="X32" s="51">
        <f>O34</f>
        <v>0.9268846205750533</v>
      </c>
      <c r="Z32" s="52" t="s">
        <v>24</v>
      </c>
      <c r="AA32" s="50"/>
      <c r="AB32" s="53">
        <f>X31*V41-X32*X33*X41</f>
        <v>0.04215309309478754</v>
      </c>
    </row>
    <row r="33" spans="11:28" ht="14.25" thickBot="1" thickTop="1">
      <c r="K33" s="68" t="s">
        <v>42</v>
      </c>
      <c r="L33" s="16" t="s">
        <v>40</v>
      </c>
      <c r="M33" s="16" t="s">
        <v>41</v>
      </c>
      <c r="N33" s="16" t="s">
        <v>53</v>
      </c>
      <c r="O33" s="27" t="s">
        <v>45</v>
      </c>
      <c r="P33" s="16" t="s">
        <v>50</v>
      </c>
      <c r="Q33" s="15" t="s">
        <v>51</v>
      </c>
      <c r="U33" s="54" t="s">
        <v>25</v>
      </c>
      <c r="V33" s="49"/>
      <c r="W33" s="50"/>
      <c r="X33" s="51">
        <f>$D$41</f>
        <v>0.9247298453919912</v>
      </c>
      <c r="Z33" s="55" t="s">
        <v>26</v>
      </c>
      <c r="AA33" s="56"/>
      <c r="AB33" s="57">
        <f>AB32-X31+X32*X33</f>
        <v>0.0038193749909604113</v>
      </c>
    </row>
    <row r="34" spans="2:24" ht="13.5" thickTop="1">
      <c r="B34" s="11"/>
      <c r="C34" s="12"/>
      <c r="K34" s="22">
        <v>1</v>
      </c>
      <c r="L34" s="17">
        <f>(1-EXP(-$B$22*(K34)))/($B$22)</f>
        <v>0.8639392643942738</v>
      </c>
      <c r="M34" s="17">
        <f>(L34-(K34))*$B$18-(($B$25^2)/(4*$B$23))*(L34^2)</f>
        <v>-0.005971128420496952</v>
      </c>
      <c r="N34" s="24">
        <f>EXP(M34-L34*$L$30)</f>
        <v>0.9268846205750533</v>
      </c>
      <c r="O34" s="28">
        <f>N34</f>
        <v>0.9268846205750533</v>
      </c>
      <c r="P34" s="71">
        <f>D5</f>
        <v>0.06</v>
      </c>
      <c r="Q34" s="17">
        <f>O34*P34</f>
        <v>0.05561307723450319</v>
      </c>
      <c r="U34" s="48" t="s">
        <v>27</v>
      </c>
      <c r="V34" s="49"/>
      <c r="W34" s="50"/>
      <c r="X34" s="58">
        <f>$D$7</f>
        <v>2</v>
      </c>
    </row>
    <row r="35" spans="11:27" ht="13.5" thickBot="1">
      <c r="K35" s="22">
        <v>2</v>
      </c>
      <c r="L35" s="17">
        <f>(1-EXP(-$B$22*(K35)))/($B$22)</f>
        <v>1.503961213019912</v>
      </c>
      <c r="M35" s="17">
        <f>(L35-(K35))*$B$18-(($B$25^2)/(4*$B$23))*(L35^2)</f>
        <v>-0.0180951946421466</v>
      </c>
      <c r="N35" s="24">
        <f>EXP(M35-L35*$L$30)</f>
        <v>0.8694675775619717</v>
      </c>
      <c r="O35" s="28">
        <f>N35</f>
        <v>0.8694675775619717</v>
      </c>
      <c r="P35" s="71">
        <f>D5</f>
        <v>0.06</v>
      </c>
      <c r="Q35" s="17">
        <f>O35*P35</f>
        <v>0.0521680546537183</v>
      </c>
      <c r="U35" s="48" t="s">
        <v>28</v>
      </c>
      <c r="V35" s="49"/>
      <c r="W35" s="50"/>
      <c r="X35" s="58">
        <f>X34+K34</f>
        <v>3</v>
      </c>
      <c r="AA35" s="59"/>
    </row>
    <row r="36" spans="2:24" ht="14.25" thickBot="1" thickTop="1">
      <c r="B36" s="29" t="s">
        <v>9</v>
      </c>
      <c r="C36" s="30"/>
      <c r="D36" s="30"/>
      <c r="E36" s="30"/>
      <c r="F36" s="31"/>
      <c r="K36" s="22">
        <v>3</v>
      </c>
      <c r="L36" s="17">
        <f>(1-EXP(-$B$22*(K36)))/($B$22)</f>
        <v>1.9781011341980026</v>
      </c>
      <c r="M36" s="17">
        <f>(L36-(K36))*$B$18-(($B$25^2)/(4*$B$23))*(L36^2)</f>
        <v>-0.031303072776923395</v>
      </c>
      <c r="N36" s="24">
        <f>EXP(M36-L36*$L$30)</f>
        <v>0.8257408773142284</v>
      </c>
      <c r="O36" s="28">
        <f>N36</f>
        <v>0.8257408773142284</v>
      </c>
      <c r="P36" s="71">
        <f>100%+D5</f>
        <v>1.06</v>
      </c>
      <c r="Q36" s="17">
        <f>O36*P36</f>
        <v>0.8752853299530822</v>
      </c>
      <c r="U36" s="60" t="s">
        <v>29</v>
      </c>
      <c r="V36" s="61"/>
      <c r="W36" s="56"/>
      <c r="X36" s="65">
        <f>(V27/V26)*(1-EXP(-V26*(X35-X34)))*SQRT((1-EXP(-2*V26*X34))/(2*V26))</f>
        <v>0.04661823622554413</v>
      </c>
    </row>
    <row r="37" spans="1:21" ht="15.75" thickBot="1" thickTop="1">
      <c r="A37" s="68" t="s">
        <v>42</v>
      </c>
      <c r="B37" s="16" t="s">
        <v>40</v>
      </c>
      <c r="C37" s="16" t="s">
        <v>41</v>
      </c>
      <c r="D37" s="16" t="s">
        <v>15</v>
      </c>
      <c r="E37" s="27" t="s">
        <v>36</v>
      </c>
      <c r="F37" s="27" t="s">
        <v>16</v>
      </c>
      <c r="P37" s="76" t="s">
        <v>54</v>
      </c>
      <c r="Q37" s="77">
        <f>SUM(Q34:Q36)</f>
        <v>0.9830664618413036</v>
      </c>
      <c r="U37" t="s">
        <v>30</v>
      </c>
    </row>
    <row r="38" spans="1:17" ht="13.5" thickTop="1">
      <c r="A38" s="22">
        <v>0.5</v>
      </c>
      <c r="B38" s="17">
        <f>(1-EXP(-$B$22*A38))/($B$22)</f>
        <v>0.4643067452498073</v>
      </c>
      <c r="C38" s="17">
        <f aca="true" t="shared" si="0" ref="C38:C69">(B38-A38)*$B$18-(($B$25^2)/(4*$B$23))*(B38^2)</f>
        <v>-0.0017246460294757559</v>
      </c>
      <c r="D38" s="24">
        <f aca="true" t="shared" si="1" ref="D38:D69">EXP(C38-B38*$B$25)</f>
        <v>0.9799076799972242</v>
      </c>
      <c r="E38" s="28">
        <f>-LN(D38)/A38</f>
        <v>0.04059383167893607</v>
      </c>
      <c r="F38" s="28">
        <f aca="true" t="shared" si="2" ref="F38:F69">EXP(-$B$23*A38)*($B$26-$B$18)+$B$18+(($B$25^2)/(2*($B$23^2)))*(EXP(-$B$23*A38)-EXP(-2*$B$23*A38))</f>
        <v>0.007705756008837951</v>
      </c>
      <c r="P38" t="s">
        <v>52</v>
      </c>
      <c r="Q38" s="72">
        <f>Q37-D6</f>
        <v>0.08306646184130362</v>
      </c>
    </row>
    <row r="39" spans="1:6" ht="12.75">
      <c r="A39" s="22">
        <v>1</v>
      </c>
      <c r="B39" s="17">
        <f aca="true" t="shared" si="3" ref="B39:B97">(1-EXP(-$B$22*A39))/($B$22)</f>
        <v>0.8639392643942738</v>
      </c>
      <c r="C39" s="17">
        <f t="shared" si="0"/>
        <v>-0.005971128420496952</v>
      </c>
      <c r="D39" s="24">
        <f t="shared" si="1"/>
        <v>0.9602816049977517</v>
      </c>
      <c r="E39" s="28">
        <f aca="true" t="shared" si="4" ref="E39:E97">-LN(D39)/A39</f>
        <v>0.04052869899626791</v>
      </c>
      <c r="F39" s="28">
        <f t="shared" si="2"/>
        <v>0.014845442068721437</v>
      </c>
    </row>
    <row r="40" spans="1:24" ht="15.75">
      <c r="A40" s="22">
        <v>1.5</v>
      </c>
      <c r="B40" s="17">
        <f t="shared" si="3"/>
        <v>1.2079061612607556</v>
      </c>
      <c r="C40" s="17">
        <f t="shared" si="0"/>
        <v>-0.011672298355293556</v>
      </c>
      <c r="D40" s="24">
        <f t="shared" si="1"/>
        <v>0.9417753217417335</v>
      </c>
      <c r="E40" s="28">
        <f t="shared" si="4"/>
        <v>0.03999236320381583</v>
      </c>
      <c r="F40" s="28">
        <f t="shared" si="2"/>
        <v>0.02145136316911841</v>
      </c>
      <c r="U40" s="62" t="s">
        <v>31</v>
      </c>
      <c r="V40">
        <f>(LN(X31/(X32*X33))+(X36^2)/2)/X36</f>
        <v>0.9618412274839039</v>
      </c>
      <c r="W40" s="62" t="s">
        <v>32</v>
      </c>
      <c r="X40">
        <f>V40-X36</f>
        <v>0.9152229912583597</v>
      </c>
    </row>
    <row r="41" spans="1:24" ht="15.75">
      <c r="A41" s="22">
        <v>2</v>
      </c>
      <c r="B41" s="17">
        <f t="shared" si="3"/>
        <v>1.503961213019912</v>
      </c>
      <c r="C41" s="17">
        <f t="shared" si="0"/>
        <v>-0.0180951946421466</v>
      </c>
      <c r="D41" s="24">
        <f t="shared" si="1"/>
        <v>0.9247298453919912</v>
      </c>
      <c r="E41" s="28">
        <f t="shared" si="4"/>
        <v>0.039126821581471544</v>
      </c>
      <c r="F41" s="28">
        <f t="shared" si="2"/>
        <v>0.02755413278655286</v>
      </c>
      <c r="U41" s="62" t="s">
        <v>33</v>
      </c>
      <c r="V41">
        <f>NORMSDIST(V40)</f>
        <v>0.8319353268186791</v>
      </c>
      <c r="W41" s="62" t="s">
        <v>34</v>
      </c>
      <c r="X41">
        <f>NORMSDIST(X40)</f>
        <v>0.819962739228842</v>
      </c>
    </row>
    <row r="42" spans="1:6" ht="12.75">
      <c r="A42" s="22">
        <v>2.5</v>
      </c>
      <c r="B42" s="17">
        <f t="shared" si="3"/>
        <v>1.758778157529951</v>
      </c>
      <c r="C42" s="17">
        <f t="shared" si="0"/>
        <v>-0.024746404859235592</v>
      </c>
      <c r="D42" s="24">
        <f t="shared" si="1"/>
        <v>0.9092842465956517</v>
      </c>
      <c r="E42" s="28">
        <f t="shared" si="4"/>
        <v>0.038039012464173454</v>
      </c>
      <c r="F42" s="28">
        <f t="shared" si="2"/>
        <v>0.033182758244220976</v>
      </c>
    </row>
    <row r="43" spans="1:6" ht="12.75">
      <c r="A43" s="22">
        <v>3</v>
      </c>
      <c r="B43" s="17">
        <f t="shared" si="3"/>
        <v>1.9781011341980026</v>
      </c>
      <c r="C43" s="17">
        <f t="shared" si="0"/>
        <v>-0.031303072776923395</v>
      </c>
      <c r="D43" s="24">
        <f t="shared" si="1"/>
        <v>0.8954515899844105</v>
      </c>
      <c r="E43" s="28">
        <f t="shared" si="4"/>
        <v>0.03680903938161451</v>
      </c>
      <c r="F43" s="28">
        <f t="shared" si="2"/>
        <v>0.03836472183786877</v>
      </c>
    </row>
    <row r="44" spans="1:6" ht="12.75">
      <c r="A44" s="22">
        <v>3.5</v>
      </c>
      <c r="B44" s="17">
        <f t="shared" si="3"/>
        <v>2.1668741696294824</v>
      </c>
      <c r="C44" s="17">
        <f t="shared" si="0"/>
        <v>-0.03756274933605967</v>
      </c>
      <c r="D44" s="24">
        <f t="shared" si="1"/>
        <v>0.8831698722108534</v>
      </c>
      <c r="E44" s="28">
        <f t="shared" si="4"/>
        <v>0.035496490320354</v>
      </c>
      <c r="F44" s="28">
        <f t="shared" si="2"/>
        <v>0.04312605793615805</v>
      </c>
    </row>
    <row r="45" spans="1:22" ht="13.5" thickBot="1">
      <c r="A45" s="22">
        <v>4</v>
      </c>
      <c r="B45" s="17">
        <f t="shared" si="3"/>
        <v>2.3293526269593263</v>
      </c>
      <c r="C45" s="17">
        <f t="shared" si="0"/>
        <v>-0.04340706928577852</v>
      </c>
      <c r="D45" s="24">
        <f t="shared" si="1"/>
        <v>0.872335506105479</v>
      </c>
      <c r="E45" s="28">
        <f t="shared" si="4"/>
        <v>0.03414529359103789</v>
      </c>
      <c r="F45" s="28">
        <f t="shared" si="2"/>
        <v>0.04749142625354959</v>
      </c>
      <c r="U45" s="5" t="s">
        <v>1</v>
      </c>
      <c r="V45" s="6"/>
    </row>
    <row r="46" spans="1:22" ht="13.5" thickTop="1">
      <c r="A46" s="22">
        <v>4.5</v>
      </c>
      <c r="B46" s="17">
        <f t="shared" si="3"/>
        <v>2.4691991311803614</v>
      </c>
      <c r="C46" s="17">
        <f t="shared" si="0"/>
        <v>-0.04877555479537481</v>
      </c>
      <c r="D46" s="24">
        <f t="shared" si="1"/>
        <v>0.8628248873284273</v>
      </c>
      <c r="E46" s="28">
        <f t="shared" si="4"/>
        <v>0.032787448898353166</v>
      </c>
      <c r="F46" s="28">
        <f t="shared" si="2"/>
        <v>0.051484181484033185</v>
      </c>
      <c r="U46" s="2" t="s">
        <v>2</v>
      </c>
      <c r="V46" s="19">
        <f>$L$27</f>
        <v>0.3</v>
      </c>
    </row>
    <row r="47" spans="1:22" ht="13.5" thickBot="1">
      <c r="A47" s="22">
        <v>5</v>
      </c>
      <c r="B47" s="17">
        <f t="shared" si="3"/>
        <v>2.5895661328385673</v>
      </c>
      <c r="C47" s="17">
        <f t="shared" si="0"/>
        <v>-0.05364682205075594</v>
      </c>
      <c r="D47" s="24">
        <f t="shared" si="1"/>
        <v>0.8545079546306688</v>
      </c>
      <c r="E47" s="28">
        <f t="shared" si="4"/>
        <v>0.03144589347285974</v>
      </c>
      <c r="F47" s="28">
        <f t="shared" si="2"/>
        <v>0.05512643947480686</v>
      </c>
      <c r="U47" s="63" t="s">
        <v>3</v>
      </c>
      <c r="V47" s="64">
        <f>$L$29</f>
        <v>0.05</v>
      </c>
    </row>
    <row r="48" spans="1:6" ht="13.5" thickTop="1">
      <c r="A48" s="22">
        <v>5.5</v>
      </c>
      <c r="B48" s="17">
        <f t="shared" si="3"/>
        <v>2.6931669712641533</v>
      </c>
      <c r="C48" s="17">
        <f t="shared" si="0"/>
        <v>-0.058025186680865065</v>
      </c>
      <c r="D48" s="24">
        <f t="shared" si="1"/>
        <v>0.8472564416353513</v>
      </c>
      <c r="E48" s="28">
        <f t="shared" si="4"/>
        <v>0.03013670282389659</v>
      </c>
      <c r="F48" s="28">
        <f t="shared" si="2"/>
        <v>0.058439140110234176</v>
      </c>
    </row>
    <row r="49" spans="1:6" ht="12.75">
      <c r="A49" s="22">
        <v>6</v>
      </c>
      <c r="B49" s="17">
        <f t="shared" si="3"/>
        <v>2.782337039261378</v>
      </c>
      <c r="C49" s="17">
        <f t="shared" si="0"/>
        <v>-0.061931195200366176</v>
      </c>
      <c r="D49" s="24">
        <f t="shared" si="1"/>
        <v>0.8409486519900804</v>
      </c>
      <c r="E49" s="28">
        <f t="shared" si="4"/>
        <v>0.028870779461803563</v>
      </c>
      <c r="F49" s="28">
        <f t="shared" si="2"/>
        <v>0.06144210706806127</v>
      </c>
    </row>
    <row r="50" spans="1:28" ht="13.5" thickBot="1">
      <c r="A50" s="22">
        <v>6.5</v>
      </c>
      <c r="B50" s="17">
        <f t="shared" si="3"/>
        <v>2.8590864280449546</v>
      </c>
      <c r="C50" s="17">
        <f t="shared" si="0"/>
        <v>-0.06539500162424686</v>
      </c>
      <c r="D50" s="24">
        <f t="shared" si="1"/>
        <v>0.8354719879932309</v>
      </c>
      <c r="E50" s="28">
        <f t="shared" si="4"/>
        <v>0.02765514749939154</v>
      </c>
      <c r="F50" s="28">
        <f t="shared" si="2"/>
        <v>0.06415410460193796</v>
      </c>
      <c r="V50" s="39" t="s">
        <v>19</v>
      </c>
      <c r="Z50" s="40" t="s">
        <v>20</v>
      </c>
      <c r="AA50" s="6"/>
      <c r="AB50" s="6"/>
    </row>
    <row r="51" spans="1:28" ht="13.5" thickTop="1">
      <c r="A51" s="22">
        <v>7</v>
      </c>
      <c r="B51" s="17">
        <f t="shared" si="3"/>
        <v>2.9251452391567274</v>
      </c>
      <c r="C51" s="17">
        <f t="shared" si="0"/>
        <v>-0.06845179736129015</v>
      </c>
      <c r="D51" s="24">
        <f t="shared" si="1"/>
        <v>0.8307240517793613</v>
      </c>
      <c r="E51" s="28">
        <f t="shared" si="4"/>
        <v>0.026493943846794172</v>
      </c>
      <c r="F51" s="28">
        <f t="shared" si="2"/>
        <v>0.06659289149673726</v>
      </c>
      <c r="U51" s="41" t="s">
        <v>21</v>
      </c>
      <c r="V51" s="42"/>
      <c r="W51" s="43"/>
      <c r="X51" s="44">
        <f>D45</f>
        <v>0.872335506105479</v>
      </c>
      <c r="Z51" s="45"/>
      <c r="AA51" s="46"/>
      <c r="AB51" s="47" t="s">
        <v>22</v>
      </c>
    </row>
    <row r="52" spans="1:28" ht="12.75">
      <c r="A52" s="22">
        <v>7.5</v>
      </c>
      <c r="B52" s="17">
        <f t="shared" si="3"/>
        <v>2.9820025847937854</v>
      </c>
      <c r="C52" s="17">
        <f t="shared" si="0"/>
        <v>-0.07113871532573454</v>
      </c>
      <c r="D52" s="24">
        <f t="shared" si="1"/>
        <v>0.8266128604974328</v>
      </c>
      <c r="E52" s="28">
        <f t="shared" si="4"/>
        <v>0.025389175828998127</v>
      </c>
      <c r="F52" s="28">
        <f t="shared" si="2"/>
        <v>0.0687752723359864</v>
      </c>
      <c r="U52" s="48" t="s">
        <v>23</v>
      </c>
      <c r="V52" s="49"/>
      <c r="W52" s="50"/>
      <c r="X52" s="51">
        <f>O35</f>
        <v>0.8694675775619717</v>
      </c>
      <c r="Z52" s="52" t="s">
        <v>24</v>
      </c>
      <c r="AA52" s="50"/>
      <c r="AB52" s="53">
        <f>X51*V61-X52*X53*X61</f>
        <v>0.0739204560929807</v>
      </c>
    </row>
    <row r="53" spans="1:28" ht="13.5" thickBot="1">
      <c r="A53" s="22">
        <v>8</v>
      </c>
      <c r="B53" s="17">
        <f t="shared" si="3"/>
        <v>3.0309401557019586</v>
      </c>
      <c r="C53" s="17">
        <f t="shared" si="0"/>
        <v>-0.0734927858195729</v>
      </c>
      <c r="D53" s="24">
        <f t="shared" si="1"/>
        <v>0.8230565307312733</v>
      </c>
      <c r="E53" s="28">
        <f t="shared" si="4"/>
        <v>0.024341299005956413</v>
      </c>
      <c r="F53" s="28">
        <f t="shared" si="2"/>
        <v>0.07071714621389368</v>
      </c>
      <c r="U53" s="54" t="s">
        <v>25</v>
      </c>
      <c r="V53" s="49"/>
      <c r="W53" s="50"/>
      <c r="X53" s="51">
        <f>$D$41</f>
        <v>0.9247298453919912</v>
      </c>
      <c r="Z53" s="55" t="s">
        <v>26</v>
      </c>
      <c r="AA53" s="56"/>
      <c r="AB53" s="57">
        <f>AB52-X51+X52*X53</f>
        <v>0.005607568559732878</v>
      </c>
    </row>
    <row r="54" spans="1:24" ht="13.5" thickTop="1">
      <c r="A54" s="22">
        <v>8.5</v>
      </c>
      <c r="B54" s="17">
        <f t="shared" si="3"/>
        <v>3.0730611133294894</v>
      </c>
      <c r="C54" s="17">
        <f t="shared" si="0"/>
        <v>-0.07554963685006305</v>
      </c>
      <c r="D54" s="24">
        <f t="shared" si="1"/>
        <v>0.8199826632025621</v>
      </c>
      <c r="E54" s="28">
        <f t="shared" si="4"/>
        <v>0.023349656633322658</v>
      </c>
      <c r="F54" s="28">
        <f t="shared" si="2"/>
        <v>0.07243355301795859</v>
      </c>
      <c r="U54" s="48" t="s">
        <v>27</v>
      </c>
      <c r="V54" s="49"/>
      <c r="W54" s="50"/>
      <c r="X54" s="58">
        <f>$D$7</f>
        <v>2</v>
      </c>
    </row>
    <row r="55" spans="1:27" ht="12.75">
      <c r="A55" s="22">
        <v>9</v>
      </c>
      <c r="B55" s="17">
        <f t="shared" si="3"/>
        <v>3.109314957534168</v>
      </c>
      <c r="C55" s="17">
        <f t="shared" si="0"/>
        <v>-0.07734271604116563</v>
      </c>
      <c r="D55" s="24">
        <f t="shared" si="1"/>
        <v>0.8173275762632602</v>
      </c>
      <c r="E55" s="28">
        <f t="shared" si="4"/>
        <v>0.022412812704725813</v>
      </c>
      <c r="F55" s="28">
        <f t="shared" si="2"/>
        <v>0.07393871740197575</v>
      </c>
      <c r="U55" s="48" t="s">
        <v>28</v>
      </c>
      <c r="V55" s="49"/>
      <c r="W55" s="50"/>
      <c r="X55" s="58">
        <f>X54+K35</f>
        <v>4</v>
      </c>
      <c r="AA55" s="59"/>
    </row>
    <row r="56" spans="1:24" ht="13.5" thickBot="1">
      <c r="A56" s="22">
        <v>9.5</v>
      </c>
      <c r="B56" s="17">
        <f t="shared" si="3"/>
        <v>3.140518930417205</v>
      </c>
      <c r="C56" s="17">
        <f t="shared" si="0"/>
        <v>-0.07890287321847061</v>
      </c>
      <c r="D56" s="24">
        <f t="shared" si="1"/>
        <v>0.8150354820468394</v>
      </c>
      <c r="E56" s="28">
        <f t="shared" si="4"/>
        <v>0.021528803203700934</v>
      </c>
      <c r="F56" s="28">
        <f t="shared" si="2"/>
        <v>0.07524609056336602</v>
      </c>
      <c r="U56" s="60" t="s">
        <v>29</v>
      </c>
      <c r="V56" s="61"/>
      <c r="W56" s="56"/>
      <c r="X56" s="65">
        <f>(V47/V46)*(1-EXP(-V46*(X55-X54)))*SQRT((1-EXP(-2*V46*X54))/(2*V46))</f>
        <v>0.08115387503747176</v>
      </c>
    </row>
    <row r="57" spans="1:21" ht="13.5" thickTop="1">
      <c r="A57" s="22">
        <v>10</v>
      </c>
      <c r="B57" s="17">
        <f t="shared" si="3"/>
        <v>3.167376438773787</v>
      </c>
      <c r="C57" s="17">
        <f t="shared" si="0"/>
        <v>-0.08025818803919454</v>
      </c>
      <c r="D57" s="24">
        <f t="shared" si="1"/>
        <v>0.8130576631301399</v>
      </c>
      <c r="E57" s="28">
        <f t="shared" si="4"/>
        <v>0.020695324559014606</v>
      </c>
      <c r="F57" s="28">
        <f t="shared" si="2"/>
        <v>0.07636838993318114</v>
      </c>
      <c r="U57" t="s">
        <v>30</v>
      </c>
    </row>
    <row r="58" spans="1:6" ht="12.75">
      <c r="A58" s="22">
        <v>10.5</v>
      </c>
      <c r="B58" s="17">
        <f t="shared" si="3"/>
        <v>3.1904929104431994</v>
      </c>
      <c r="C58" s="17">
        <f t="shared" si="0"/>
        <v>-0.08143396009270655</v>
      </c>
      <c r="D58" s="24">
        <f t="shared" si="1"/>
        <v>0.8113516839474408</v>
      </c>
      <c r="E58" s="28">
        <f t="shared" si="4"/>
        <v>0.01990987395337472</v>
      </c>
      <c r="F58" s="28">
        <f t="shared" si="2"/>
        <v>0.07731763688181112</v>
      </c>
    </row>
    <row r="59" spans="1:6" ht="12.75">
      <c r="A59" s="22">
        <v>11</v>
      </c>
      <c r="B59" s="17">
        <f t="shared" si="3"/>
        <v>3.2103894419958667</v>
      </c>
      <c r="C59" s="17">
        <f t="shared" si="0"/>
        <v>-0.08245280295422826</v>
      </c>
      <c r="D59" s="24">
        <f t="shared" si="1"/>
        <v>0.8098806558449435</v>
      </c>
      <c r="E59" s="28">
        <f t="shared" si="4"/>
        <v>0.01916985278491481</v>
      </c>
      <c r="F59" s="28">
        <f t="shared" si="2"/>
        <v>0.07810519253837025</v>
      </c>
    </row>
    <row r="60" spans="1:24" ht="15.75">
      <c r="A60" s="22">
        <v>11.5</v>
      </c>
      <c r="B60" s="17">
        <f t="shared" si="3"/>
        <v>3.2275145454064402</v>
      </c>
      <c r="C60" s="17">
        <f t="shared" si="0"/>
        <v>-0.08333480112648113</v>
      </c>
      <c r="D60" s="24">
        <f t="shared" si="1"/>
        <v>0.8086125647977647</v>
      </c>
      <c r="E60" s="28">
        <f t="shared" si="4"/>
        <v>0.018472641995020755</v>
      </c>
      <c r="F60" s="28">
        <f t="shared" si="2"/>
        <v>0.0787417918169288</v>
      </c>
      <c r="U60" s="62" t="s">
        <v>31</v>
      </c>
      <c r="V60">
        <f>(LN(X51/(X52*X53))+(X56^2)/2)/X56</f>
        <v>1.0454174734087651</v>
      </c>
      <c r="W60" s="62" t="s">
        <v>32</v>
      </c>
      <c r="X60">
        <f>V60-X56</f>
        <v>0.9642635983712934</v>
      </c>
    </row>
    <row r="61" spans="1:24" ht="15.75">
      <c r="A61" s="22">
        <v>12</v>
      </c>
      <c r="B61" s="17">
        <f t="shared" si="3"/>
        <v>3.242254258509025</v>
      </c>
      <c r="C61" s="17">
        <f t="shared" si="0"/>
        <v>-0.08409770141455926</v>
      </c>
      <c r="D61" s="24">
        <f t="shared" si="1"/>
        <v>0.8075196645847385</v>
      </c>
      <c r="E61" s="28">
        <f t="shared" si="4"/>
        <v>0.017815655979576694</v>
      </c>
      <c r="F61" s="28">
        <f t="shared" si="2"/>
        <v>0.07923757573818378</v>
      </c>
      <c r="U61" s="62" t="s">
        <v>33</v>
      </c>
      <c r="V61">
        <f>NORMSDIST(V60)</f>
        <v>0.8520849449842498</v>
      </c>
      <c r="W61" s="62" t="s">
        <v>34</v>
      </c>
      <c r="X61">
        <f>NORMSDIST(X60)</f>
        <v>0.8325431152961756</v>
      </c>
    </row>
    <row r="62" spans="1:6" ht="12.75">
      <c r="A62" s="22">
        <v>12.5</v>
      </c>
      <c r="B62" s="17">
        <f t="shared" si="3"/>
        <v>3.2549408471466363</v>
      </c>
      <c r="C62" s="17">
        <f t="shared" si="0"/>
        <v>-0.0847571193473893</v>
      </c>
      <c r="D62" s="24">
        <f t="shared" si="1"/>
        <v>0.8065779343953574</v>
      </c>
      <c r="E62" s="28">
        <f t="shared" si="4"/>
        <v>0.01719638025866038</v>
      </c>
      <c r="F62" s="28">
        <f t="shared" si="2"/>
        <v>0.07960212213081605</v>
      </c>
    </row>
    <row r="63" spans="1:6" ht="12.75">
      <c r="A63" s="22">
        <v>13</v>
      </c>
      <c r="B63" s="17">
        <f t="shared" si="3"/>
        <v>3.2658602951806524</v>
      </c>
      <c r="C63" s="17">
        <f t="shared" si="0"/>
        <v>-0.08532674774109966</v>
      </c>
      <c r="D63" s="24">
        <f t="shared" si="1"/>
        <v>0.8057665976043006</v>
      </c>
      <c r="E63" s="28">
        <f t="shared" si="4"/>
        <v>0.016612396888332746</v>
      </c>
      <c r="F63" s="28">
        <f t="shared" si="2"/>
        <v>0.07984447479264109</v>
      </c>
    </row>
    <row r="64" spans="1:22" ht="13.5" thickBot="1">
      <c r="A64" s="22">
        <v>13.5</v>
      </c>
      <c r="B64" s="17">
        <f t="shared" si="3"/>
        <v>3.2752587512016884</v>
      </c>
      <c r="C64" s="17">
        <f t="shared" si="0"/>
        <v>-0.08581855909858595</v>
      </c>
      <c r="D64" s="24">
        <f t="shared" si="1"/>
        <v>0.8050676972419932</v>
      </c>
      <c r="E64" s="28">
        <f t="shared" si="4"/>
        <v>0.016061400677529886</v>
      </c>
      <c r="F64" s="28">
        <f t="shared" si="2"/>
        <v>0.07997317118773044</v>
      </c>
      <c r="U64" s="5" t="s">
        <v>1</v>
      </c>
      <c r="V64" s="6"/>
    </row>
    <row r="65" spans="1:22" ht="13.5" thickTop="1">
      <c r="A65" s="22">
        <v>14</v>
      </c>
      <c r="B65" s="17">
        <f t="shared" si="3"/>
        <v>3.2833480772650745</v>
      </c>
      <c r="C65" s="17">
        <f t="shared" si="0"/>
        <v>-0.08624299677184209</v>
      </c>
      <c r="D65" s="24">
        <f t="shared" si="1"/>
        <v>0.8044657231471234</v>
      </c>
      <c r="E65" s="28">
        <f t="shared" si="4"/>
        <v>0.01554120856160322</v>
      </c>
      <c r="F65" s="28">
        <f t="shared" si="2"/>
        <v>0.07999626875193697</v>
      </c>
      <c r="U65" s="2" t="s">
        <v>2</v>
      </c>
      <c r="V65" s="19">
        <f>$L$27</f>
        <v>0.3</v>
      </c>
    </row>
    <row r="66" spans="1:22" ht="13.5" thickBot="1">
      <c r="A66" s="22">
        <v>14.5</v>
      </c>
      <c r="B66" s="17">
        <f t="shared" si="3"/>
        <v>3.2903106247317337</v>
      </c>
      <c r="C66" s="17">
        <f t="shared" si="0"/>
        <v>-0.08660915205778025</v>
      </c>
      <c r="D66" s="24">
        <f t="shared" si="1"/>
        <v>0.8039472856641071</v>
      </c>
      <c r="E66" s="28">
        <f t="shared" si="4"/>
        <v>0.015049763934279281</v>
      </c>
      <c r="F66" s="28">
        <f t="shared" si="2"/>
        <v>0.07992136987570073</v>
      </c>
      <c r="U66" s="63" t="s">
        <v>3</v>
      </c>
      <c r="V66" s="64">
        <f>$L$29</f>
        <v>0.05</v>
      </c>
    </row>
    <row r="67" spans="1:6" ht="13.5" thickTop="1">
      <c r="A67" s="22">
        <v>15</v>
      </c>
      <c r="B67" s="17">
        <f t="shared" si="3"/>
        <v>3.296303344872526</v>
      </c>
      <c r="C67" s="17">
        <f t="shared" si="0"/>
        <v>-0.08692492593134243</v>
      </c>
      <c r="D67" s="24">
        <f t="shared" si="1"/>
        <v>0.8035008308823648</v>
      </c>
      <c r="E67" s="28">
        <f t="shared" si="4"/>
        <v>0.014585137315082897</v>
      </c>
      <c r="F67" s="28">
        <f t="shared" si="2"/>
        <v>0.07975564562962714</v>
      </c>
    </row>
    <row r="68" spans="1:6" ht="12.75">
      <c r="A68" s="22">
        <v>15.5</v>
      </c>
      <c r="B68" s="17">
        <f t="shared" si="3"/>
        <v>3.3014613268981883</v>
      </c>
      <c r="C68" s="17">
        <f t="shared" si="0"/>
        <v>-0.08719717514403477</v>
      </c>
      <c r="D68" s="24">
        <f t="shared" si="1"/>
        <v>0.8031163926973663</v>
      </c>
      <c r="E68" s="28">
        <f t="shared" si="4"/>
        <v>0.014145524401287895</v>
      </c>
      <c r="F68" s="28">
        <f t="shared" si="2"/>
        <v>0.07950585829511127</v>
      </c>
    </row>
    <row r="69" spans="1:28" ht="13.5" thickBot="1">
      <c r="A69" s="22">
        <v>16</v>
      </c>
      <c r="B69" s="17">
        <f t="shared" si="3"/>
        <v>3.3059008431699333</v>
      </c>
      <c r="C69" s="17">
        <f t="shared" si="0"/>
        <v>-0.0874318430789734</v>
      </c>
      <c r="D69" s="24">
        <f t="shared" si="1"/>
        <v>0.8027853773352328</v>
      </c>
      <c r="E69" s="28">
        <f t="shared" si="4"/>
        <v>0.013729242300360668</v>
      </c>
      <c r="F69" s="28">
        <f t="shared" si="2"/>
        <v>0.07917838275922116</v>
      </c>
      <c r="V69" s="39" t="s">
        <v>19</v>
      </c>
      <c r="Z69" s="40" t="s">
        <v>20</v>
      </c>
      <c r="AA69" s="6"/>
      <c r="AB69" s="6"/>
    </row>
    <row r="70" spans="1:28" ht="13.5" thickTop="1">
      <c r="A70" s="22">
        <v>16.5</v>
      </c>
      <c r="B70" s="17">
        <f t="shared" si="3"/>
        <v>3.309721970236493</v>
      </c>
      <c r="C70" s="17">
        <f aca="true" t="shared" si="5" ref="C70:C97">(B70-A70)*$B$18-(($B$25^2)/(4*$B$23))*(B70^2)</f>
        <v>-0.08763407616212907</v>
      </c>
      <c r="D70" s="24">
        <f aca="true" t="shared" si="6" ref="D70:D97">EXP(C70-B70*$B$25)</f>
        <v>0.8025003763777061</v>
      </c>
      <c r="E70" s="28">
        <f t="shared" si="4"/>
        <v>0.013334724543732652</v>
      </c>
      <c r="F70" s="28">
        <f aca="true" t="shared" si="7" ref="F70:F97">EXP(-$B$23*A70)*($B$26-$B$18)+$B$18+(($B$25^2)/(2*($B$23^2)))*(EXP(-$B$23*A70)-EXP(-2*$B$23*A70))</f>
        <v>0.07877922683014242</v>
      </c>
      <c r="U70" s="41" t="s">
        <v>21</v>
      </c>
      <c r="V70" s="42"/>
      <c r="W70" s="43"/>
      <c r="X70" s="44">
        <f>D47</f>
        <v>0.8545079546306688</v>
      </c>
      <c r="Z70" s="45"/>
      <c r="AA70" s="46"/>
      <c r="AB70" s="47" t="s">
        <v>22</v>
      </c>
    </row>
    <row r="71" spans="1:28" ht="12.75">
      <c r="A71" s="22">
        <v>17</v>
      </c>
      <c r="B71" s="17">
        <f t="shared" si="3"/>
        <v>3.3130108447816147</v>
      </c>
      <c r="C71" s="17">
        <f t="shared" si="5"/>
        <v>-0.0878083268611247</v>
      </c>
      <c r="D71" s="24">
        <f t="shared" si="6"/>
        <v>0.8022550047237003</v>
      </c>
      <c r="E71" s="28">
        <f t="shared" si="4"/>
        <v>0.01296051533249349</v>
      </c>
      <c r="F71" s="28">
        <f t="shared" si="7"/>
        <v>0.07831405052671744</v>
      </c>
      <c r="U71" s="48" t="s">
        <v>23</v>
      </c>
      <c r="V71" s="49"/>
      <c r="W71" s="50"/>
      <c r="X71" s="51">
        <f>O36</f>
        <v>0.8257408773142284</v>
      </c>
      <c r="Z71" s="52" t="s">
        <v>24</v>
      </c>
      <c r="AA71" s="50"/>
      <c r="AB71" s="53">
        <f>X70*V80-X71*X72*X80</f>
        <v>0.09738985969945424</v>
      </c>
    </row>
    <row r="72" spans="1:28" ht="13.5" thickBot="1">
      <c r="A72" s="22">
        <v>17.5</v>
      </c>
      <c r="B72" s="17">
        <f t="shared" si="3"/>
        <v>3.3158416053360624</v>
      </c>
      <c r="C72" s="17">
        <f t="shared" si="5"/>
        <v>-0.0879584444134211</v>
      </c>
      <c r="D72" s="24">
        <f t="shared" si="6"/>
        <v>0.8020437603098095</v>
      </c>
      <c r="E72" s="28">
        <f t="shared" si="4"/>
        <v>0.012605263350106493</v>
      </c>
      <c r="F72" s="28">
        <f t="shared" si="7"/>
        <v>0.07778818439298023</v>
      </c>
      <c r="U72" s="54" t="s">
        <v>25</v>
      </c>
      <c r="V72" s="49"/>
      <c r="W72" s="50"/>
      <c r="X72" s="51">
        <f>$D$41</f>
        <v>0.9247298453919912</v>
      </c>
      <c r="Z72" s="55" t="s">
        <v>26</v>
      </c>
      <c r="AA72" s="56"/>
      <c r="AB72" s="57">
        <f>AB71-X70+X71*X72</f>
        <v>0.00646913888141909</v>
      </c>
    </row>
    <row r="73" spans="1:24" ht="13.5" thickTop="1">
      <c r="A73" s="22">
        <v>18</v>
      </c>
      <c r="B73" s="17">
        <f t="shared" si="3"/>
        <v>3.3182780635246245</v>
      </c>
      <c r="C73" s="17">
        <f t="shared" si="5"/>
        <v>-0.08808775445494986</v>
      </c>
      <c r="D73" s="24">
        <f t="shared" si="6"/>
        <v>0.801861902774908</v>
      </c>
      <c r="E73" s="28">
        <f t="shared" si="4"/>
        <v>0.012267715388663043</v>
      </c>
      <c r="F73" s="28">
        <f t="shared" si="7"/>
        <v>0.07720664688608402</v>
      </c>
      <c r="U73" s="48" t="s">
        <v>27</v>
      </c>
      <c r="V73" s="49"/>
      <c r="W73" s="50"/>
      <c r="X73" s="58">
        <f>$D$7</f>
        <v>2</v>
      </c>
    </row>
    <row r="74" spans="1:27" ht="12.75">
      <c r="A74" s="22">
        <v>18.5</v>
      </c>
      <c r="B74" s="17">
        <f t="shared" si="3"/>
        <v>3.3203751425217463</v>
      </c>
      <c r="C74" s="17">
        <f t="shared" si="5"/>
        <v>-0.08819912869661047</v>
      </c>
      <c r="D74" s="24">
        <f t="shared" si="6"/>
        <v>0.8017053485880531</v>
      </c>
      <c r="E74" s="28">
        <f t="shared" si="4"/>
        <v>0.011946709967431364</v>
      </c>
      <c r="F74" s="28">
        <f t="shared" si="7"/>
        <v>0.07657416088363686</v>
      </c>
      <c r="U74" s="48" t="s">
        <v>28</v>
      </c>
      <c r="V74" s="49"/>
      <c r="W74" s="50"/>
      <c r="X74" s="58">
        <f>X73+K36</f>
        <v>5</v>
      </c>
      <c r="AA74" s="59"/>
    </row>
    <row r="75" spans="1:24" ht="13.5" thickBot="1">
      <c r="A75" s="22">
        <v>19</v>
      </c>
      <c r="B75" s="17">
        <f t="shared" si="3"/>
        <v>3.3221801151417627</v>
      </c>
      <c r="C75" s="17">
        <f t="shared" si="5"/>
        <v>-0.08829504573954668</v>
      </c>
      <c r="D75" s="24">
        <f t="shared" si="6"/>
        <v>0.8015705804622224</v>
      </c>
      <c r="E75" s="28">
        <f t="shared" si="4"/>
        <v>0.011641171070800907</v>
      </c>
      <c r="F75" s="28">
        <f t="shared" si="7"/>
        <v>0.07589516935419716</v>
      </c>
      <c r="U75" s="60" t="s">
        <v>29</v>
      </c>
      <c r="V75" s="61"/>
      <c r="W75" s="56"/>
      <c r="X75" s="65">
        <f>(V66/V65)*(1-EXP(-V65*(X74-X73)))*SQRT((1-EXP(-2*V65*X73))/(2*V65))</f>
        <v>0.10673850553223042</v>
      </c>
    </row>
    <row r="76" spans="1:21" ht="13.5" thickTop="1">
      <c r="A76" s="22">
        <v>19.5</v>
      </c>
      <c r="B76" s="17">
        <f t="shared" si="3"/>
        <v>3.323733669473039</v>
      </c>
      <c r="C76" s="17">
        <f t="shared" si="5"/>
        <v>-0.08837764404470971</v>
      </c>
      <c r="D76" s="24">
        <f t="shared" si="6"/>
        <v>0.8014545691488927</v>
      </c>
      <c r="E76" s="28">
        <f t="shared" si="4"/>
        <v>0.011350102093519556</v>
      </c>
      <c r="F76" s="28">
        <f t="shared" si="7"/>
        <v>0.07517385023252586</v>
      </c>
      <c r="U76" t="s">
        <v>30</v>
      </c>
    </row>
    <row r="77" spans="1:6" ht="12.75">
      <c r="A77" s="22">
        <v>20</v>
      </c>
      <c r="B77" s="17">
        <f t="shared" si="3"/>
        <v>3.325070826077779</v>
      </c>
      <c r="C77" s="17">
        <f t="shared" si="5"/>
        <v>-0.08844876798746851</v>
      </c>
      <c r="D77" s="24">
        <f t="shared" si="6"/>
        <v>0.8013547059512874</v>
      </c>
      <c r="E77" s="28">
        <f t="shared" si="4"/>
        <v>0.011072580051528983</v>
      </c>
      <c r="F77" s="28">
        <f t="shared" si="7"/>
        <v>0.07441413053914547</v>
      </c>
    </row>
    <row r="78" spans="1:6" ht="12.75">
      <c r="A78" s="22">
        <v>20.5</v>
      </c>
      <c r="B78" s="17">
        <f t="shared" si="3"/>
        <v>3.3262217274332078</v>
      </c>
      <c r="C78" s="17">
        <f t="shared" si="5"/>
        <v>-0.08851000784039002</v>
      </c>
      <c r="D78" s="24">
        <f t="shared" si="6"/>
        <v>0.8012687445091449</v>
      </c>
      <c r="E78" s="28">
        <f t="shared" si="4"/>
        <v>0.01080775009452285</v>
      </c>
      <c r="F78" s="28">
        <f t="shared" si="7"/>
        <v>0.07361969978180716</v>
      </c>
    </row>
    <row r="79" spans="1:24" ht="15.75">
      <c r="A79" s="22">
        <v>21</v>
      </c>
      <c r="B79" s="17">
        <f t="shared" si="3"/>
        <v>3.327212317409904</v>
      </c>
      <c r="C79" s="17">
        <f t="shared" si="5"/>
        <v>-0.08856273444099347</v>
      </c>
      <c r="D79" s="24">
        <f t="shared" si="6"/>
        <v>0.801194750597328</v>
      </c>
      <c r="E79" s="28">
        <f t="shared" si="4"/>
        <v>0.010554820339875695</v>
      </c>
      <c r="F79" s="28">
        <f t="shared" si="7"/>
        <v>0.07279402267461547</v>
      </c>
      <c r="U79" s="62" t="s">
        <v>31</v>
      </c>
      <c r="V79">
        <f>(LN(X70/(X71*X72))+(X75^2)/2)/X75</f>
        <v>1.1073322792060818</v>
      </c>
      <c r="W79" s="62" t="s">
        <v>32</v>
      </c>
      <c r="X79">
        <f>V79-X75</f>
        <v>1.0005937736738513</v>
      </c>
    </row>
    <row r="80" spans="1:24" ht="15.75">
      <c r="A80" s="22">
        <v>21.5</v>
      </c>
      <c r="B80" s="17">
        <f t="shared" si="3"/>
        <v>3.328064926104213</v>
      </c>
      <c r="C80" s="17">
        <f t="shared" si="5"/>
        <v>-0.0886081292189203</v>
      </c>
      <c r="D80" s="24">
        <f t="shared" si="6"/>
        <v>0.8011310588468935</v>
      </c>
      <c r="E80" s="28">
        <f t="shared" si="4"/>
        <v>0.010313057035492505</v>
      </c>
      <c r="F80" s="28">
        <f t="shared" si="7"/>
        <v>0.07194035120879895</v>
      </c>
      <c r="U80" s="62" t="s">
        <v>33</v>
      </c>
      <c r="V80">
        <f>NORMSDIST(V79)</f>
        <v>0.8659248107251991</v>
      </c>
      <c r="W80" s="62" t="s">
        <v>34</v>
      </c>
      <c r="X80">
        <f>NORMSDIST(X79)</f>
        <v>0.8414883732000047</v>
      </c>
    </row>
    <row r="81" spans="1:6" ht="12.75">
      <c r="A81" s="22">
        <v>22</v>
      </c>
      <c r="B81" s="17">
        <f t="shared" si="3"/>
        <v>3.328798773208174</v>
      </c>
      <c r="C81" s="17">
        <f t="shared" si="5"/>
        <v>-0.08864721018009794</v>
      </c>
      <c r="D81" s="24">
        <f t="shared" si="6"/>
        <v>0.8010762354427244</v>
      </c>
      <c r="E81" s="28">
        <f t="shared" si="4"/>
        <v>0.010081780050382948</v>
      </c>
      <c r="F81" s="28">
        <f t="shared" si="7"/>
        <v>0.0710617361074386</v>
      </c>
    </row>
    <row r="82" spans="1:6" ht="12.75">
      <c r="A82" s="22">
        <v>22.5</v>
      </c>
      <c r="B82" s="17">
        <f t="shared" si="3"/>
        <v>3.3294304012640294</v>
      </c>
      <c r="C82" s="17">
        <f t="shared" si="5"/>
        <v>-0.08868085437488925</v>
      </c>
      <c r="D82" s="24">
        <f t="shared" si="6"/>
        <v>0.8010290459787723</v>
      </c>
      <c r="E82" s="28">
        <f t="shared" si="4"/>
        <v>0.009860358685575572</v>
      </c>
      <c r="F82" s="28">
        <f t="shared" si="7"/>
        <v>0.07016103769487532</v>
      </c>
    </row>
    <row r="83" spans="1:6" ht="12.75">
      <c r="A83" s="22">
        <v>23</v>
      </c>
      <c r="B83" s="17">
        <f t="shared" si="3"/>
        <v>3.3299740485698384</v>
      </c>
      <c r="C83" s="17">
        <f t="shared" si="5"/>
        <v>-0.0887098173131888</v>
      </c>
      <c r="D83" s="24">
        <f t="shared" si="6"/>
        <v>0.8009884277624885</v>
      </c>
      <c r="E83" s="28">
        <f t="shared" si="4"/>
        <v>0.00964820779373836</v>
      </c>
      <c r="F83" s="28">
        <f t="shared" si="7"/>
        <v>0.06924093620999983</v>
      </c>
    </row>
    <row r="84" spans="1:6" ht="12.75">
      <c r="A84" s="22">
        <v>23.5</v>
      </c>
      <c r="B84" s="17">
        <f t="shared" si="3"/>
        <v>3.33044197014231</v>
      </c>
      <c r="C84" s="17">
        <f t="shared" si="5"/>
        <v>-0.08873474973188313</v>
      </c>
      <c r="D84" s="24">
        <f t="shared" si="6"/>
        <v>0.8009534659560865</v>
      </c>
      <c r="E84" s="28">
        <f t="shared" si="4"/>
        <v>0.009444784193088323</v>
      </c>
      <c r="F84" s="28">
        <f t="shared" si="7"/>
        <v>0.06830394159119046</v>
      </c>
    </row>
    <row r="85" spans="1:6" ht="12.75">
      <c r="A85" s="22">
        <v>24</v>
      </c>
      <c r="B85" s="17">
        <f t="shared" si="3"/>
        <v>3.330844713972078</v>
      </c>
      <c r="C85" s="17">
        <f t="shared" si="5"/>
        <v>-0.08875621206876587</v>
      </c>
      <c r="D85" s="24">
        <f t="shared" si="6"/>
        <v>0.8009233730256496</v>
      </c>
      <c r="E85" s="28">
        <f t="shared" si="4"/>
        <v>0.009249583359485376</v>
      </c>
      <c r="F85" s="28">
        <f t="shared" si="7"/>
        <v>0.06735240275929265</v>
      </c>
    </row>
    <row r="86" spans="1:6" ht="12.75">
      <c r="A86" s="22">
        <v>24.5</v>
      </c>
      <c r="B86" s="17">
        <f t="shared" si="3"/>
        <v>3.3311913587988147</v>
      </c>
      <c r="C86" s="17">
        <f t="shared" si="5"/>
        <v>-0.08877468695148714</v>
      </c>
      <c r="D86" s="24">
        <f t="shared" si="6"/>
        <v>0.8008974710413556</v>
      </c>
      <c r="E86" s="28">
        <f t="shared" si="4"/>
        <v>0.009062136379732232</v>
      </c>
      <c r="F86" s="28">
        <f t="shared" si="7"/>
        <v>0.06638851642373192</v>
      </c>
    </row>
    <row r="87" spans="1:6" ht="12.75">
      <c r="A87" s="22">
        <v>25</v>
      </c>
      <c r="B87" s="17">
        <f t="shared" si="3"/>
        <v>3.331489718766174</v>
      </c>
      <c r="C87" s="17">
        <f t="shared" si="5"/>
        <v>-0.08879058996995778</v>
      </c>
      <c r="D87" s="24">
        <f t="shared" si="6"/>
        <v>0.8008751764346613</v>
      </c>
      <c r="E87" s="28">
        <f t="shared" si="4"/>
        <v>0.00888200714882419</v>
      </c>
      <c r="F87" s="28">
        <f t="shared" si="7"/>
        <v>0.0654143354356132</v>
      </c>
    </row>
    <row r="88" spans="1:6" ht="12.75">
      <c r="A88" s="22">
        <v>25.5</v>
      </c>
      <c r="B88" s="17">
        <f t="shared" si="3"/>
        <v>3.331746519569926</v>
      </c>
      <c r="C88" s="17">
        <f t="shared" si="5"/>
        <v>-0.08880427896533052</v>
      </c>
      <c r="D88" s="24">
        <f t="shared" si="6"/>
        <v>0.8008559868724182</v>
      </c>
      <c r="E88" s="28">
        <f t="shared" si="4"/>
        <v>0.008708789794044216</v>
      </c>
      <c r="F88" s="28">
        <f t="shared" si="7"/>
        <v>0.06443177671048132</v>
      </c>
    </row>
    <row r="89" spans="1:6" ht="12.75">
      <c r="A89" s="22">
        <v>26</v>
      </c>
      <c r="B89" s="17">
        <f t="shared" si="3"/>
        <v>3.3319675500700674</v>
      </c>
      <c r="C89" s="17">
        <f t="shared" si="5"/>
        <v>-0.08881606203775942</v>
      </c>
      <c r="D89" s="24">
        <f t="shared" si="6"/>
        <v>0.8008394699546724</v>
      </c>
      <c r="E89" s="28">
        <f t="shared" si="4"/>
        <v>0.008542106309252392</v>
      </c>
      <c r="F89" s="28">
        <f t="shared" si="7"/>
        <v>0.06344262874229717</v>
      </c>
    </row>
    <row r="90" spans="1:6" ht="12.75">
      <c r="A90" s="22">
        <v>26.5</v>
      </c>
      <c r="B90" s="17">
        <f t="shared" si="3"/>
        <v>3.3321577927845727</v>
      </c>
      <c r="C90" s="17">
        <f t="shared" si="5"/>
        <v>-0.08882620444811964</v>
      </c>
      <c r="D90" s="24">
        <f t="shared" si="6"/>
        <v>0.8008252534833362</v>
      </c>
      <c r="E90" s="28">
        <f t="shared" si="4"/>
        <v>0.008381604383377452</v>
      </c>
      <c r="F90" s="28">
        <f t="shared" si="7"/>
        <v>0.06244855872911902</v>
      </c>
    </row>
    <row r="91" spans="1:6" ht="12.75">
      <c r="A91" s="22">
        <v>27</v>
      </c>
      <c r="B91" s="17">
        <f t="shared" si="3"/>
        <v>3.3323215362064036</v>
      </c>
      <c r="C91" s="17">
        <f t="shared" si="5"/>
        <v>-0.08883493456532005</v>
      </c>
      <c r="D91" s="24">
        <f t="shared" si="6"/>
        <v>0.8008130170838099</v>
      </c>
      <c r="E91" s="28">
        <f t="shared" si="4"/>
        <v>0.00822695540791023</v>
      </c>
      <c r="F91" s="28">
        <f t="shared" si="7"/>
        <v>0.06145111932996535</v>
      </c>
    </row>
    <row r="92" spans="1:6" ht="12.75">
      <c r="A92" s="22">
        <v>27.5</v>
      </c>
      <c r="B92" s="17">
        <f t="shared" si="3"/>
        <v>3.332462471475661</v>
      </c>
      <c r="C92" s="17">
        <f t="shared" si="5"/>
        <v>-0.08884244899034939</v>
      </c>
      <c r="D92" s="24">
        <f t="shared" si="6"/>
        <v>0.8008024849917613</v>
      </c>
      <c r="E92" s="28">
        <f t="shared" si="4"/>
        <v>0.008077852649068212</v>
      </c>
      <c r="F92" s="28">
        <f t="shared" si="7"/>
        <v>0.06045175507137244</v>
      </c>
    </row>
    <row r="93" spans="1:6" ht="12.75">
      <c r="A93" s="22">
        <v>28</v>
      </c>
      <c r="B93" s="17">
        <f t="shared" si="3"/>
        <v>3.3325837755860706</v>
      </c>
      <c r="C93" s="17">
        <f t="shared" si="5"/>
        <v>-0.08884891697039608</v>
      </c>
      <c r="D93" s="24">
        <f t="shared" si="6"/>
        <v>0.8007934198432544</v>
      </c>
      <c r="E93" s="28">
        <f t="shared" si="4"/>
        <v>0.007934009571208532</v>
      </c>
      <c r="F93" s="28">
        <f t="shared" si="7"/>
        <v>0.059451808421244305</v>
      </c>
    </row>
    <row r="94" spans="1:6" ht="12.75">
      <c r="A94" s="22">
        <v>28.5</v>
      </c>
      <c r="B94" s="17">
        <f t="shared" si="3"/>
        <v>3.332688183001473</v>
      </c>
      <c r="C94" s="17">
        <f t="shared" si="5"/>
        <v>-0.08885448420094129</v>
      </c>
      <c r="D94" s="24">
        <f t="shared" si="6"/>
        <v>0.8007856173288296</v>
      </c>
      <c r="E94" s="28">
        <f t="shared" si="4"/>
        <v>0.007795158298982464</v>
      </c>
      <c r="F94" s="28">
        <f t="shared" si="7"/>
        <v>0.05845252554672117</v>
      </c>
    </row>
    <row r="95" spans="1:6" ht="12.75">
      <c r="A95" s="22">
        <v>29</v>
      </c>
      <c r="B95" s="17">
        <f t="shared" si="3"/>
        <v>3.332778047296708</v>
      </c>
      <c r="C95" s="17">
        <f t="shared" si="5"/>
        <v>-0.08885927610034287</v>
      </c>
      <c r="D95" s="24">
        <f t="shared" si="6"/>
        <v>0.8007789015914644</v>
      </c>
      <c r="E95" s="28">
        <f t="shared" si="4"/>
        <v>0.007661048206627974</v>
      </c>
      <c r="F95" s="28">
        <f t="shared" si="7"/>
        <v>0.05745506177196492</v>
      </c>
    </row>
    <row r="96" spans="1:6" ht="12.75">
      <c r="A96" s="22">
        <v>29.5</v>
      </c>
      <c r="B96" s="17">
        <f t="shared" si="3"/>
        <v>3.3328553942124124</v>
      </c>
      <c r="C96" s="17">
        <f t="shared" si="5"/>
        <v>-0.0888634006298462</v>
      </c>
      <c r="D96" s="24">
        <f t="shared" si="6"/>
        <v>0.8007731212649936</v>
      </c>
      <c r="E96" s="28">
        <f t="shared" si="4"/>
        <v>0.0075314446236726335</v>
      </c>
      <c r="F96" s="28">
        <f t="shared" si="7"/>
        <v>0.05646048675097281</v>
      </c>
    </row>
    <row r="97" spans="1:6" ht="13.5" thickBot="1">
      <c r="A97" s="23">
        <v>30</v>
      </c>
      <c r="B97" s="14">
        <f t="shared" si="3"/>
        <v>3.3329219673197112</v>
      </c>
      <c r="C97" s="14">
        <f t="shared" si="5"/>
        <v>-0.08886695072193836</v>
      </c>
      <c r="D97" s="25">
        <f t="shared" si="6"/>
        <v>0.8007681460639267</v>
      </c>
      <c r="E97" s="26">
        <f t="shared" si="4"/>
        <v>0.007406127647157562</v>
      </c>
      <c r="F97" s="26">
        <f t="shared" si="7"/>
        <v>0.055469789369781065</v>
      </c>
    </row>
    <row r="98" ht="13.5" thickTop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workbookViewId="0" topLeftCell="A1">
      <selection activeCell="J26" sqref="J26"/>
    </sheetView>
  </sheetViews>
  <sheetFormatPr defaultColWidth="9.140625" defaultRowHeight="12.75"/>
  <sheetData>
    <row r="4" spans="2:3" ht="13.5" thickBot="1">
      <c r="B4" s="5" t="s">
        <v>1</v>
      </c>
      <c r="C4" s="6"/>
    </row>
    <row r="5" spans="2:11" ht="15.75" thickBot="1" thickTop="1">
      <c r="B5" s="66" t="s">
        <v>37</v>
      </c>
      <c r="C5" s="19">
        <v>0.3</v>
      </c>
      <c r="F5" s="68" t="s">
        <v>42</v>
      </c>
      <c r="G5" s="16" t="s">
        <v>40</v>
      </c>
      <c r="H5" s="16" t="s">
        <v>41</v>
      </c>
      <c r="I5" s="16" t="s">
        <v>15</v>
      </c>
      <c r="J5" s="27" t="s">
        <v>36</v>
      </c>
      <c r="K5" s="27" t="s">
        <v>16</v>
      </c>
    </row>
    <row r="6" spans="2:11" ht="13.5" thickTop="1">
      <c r="B6" s="67" t="s">
        <v>38</v>
      </c>
      <c r="C6" s="20">
        <v>0.05</v>
      </c>
      <c r="F6" s="22">
        <v>0.5</v>
      </c>
      <c r="G6" s="17">
        <v>0.4643067452498073</v>
      </c>
      <c r="H6" s="17">
        <v>-0.001738049658377381</v>
      </c>
      <c r="I6" s="24">
        <v>0.979894545766347</v>
      </c>
      <c r="J6" s="28">
        <v>0.04062063893673924</v>
      </c>
      <c r="K6" s="28">
        <v>0.04112344429364384</v>
      </c>
    </row>
    <row r="7" spans="2:11" ht="12.75">
      <c r="B7" s="67" t="s">
        <v>39</v>
      </c>
      <c r="C7" s="20">
        <v>0.05</v>
      </c>
      <c r="F7" s="22">
        <v>1</v>
      </c>
      <c r="G7" s="17">
        <v>0.8639392643942738</v>
      </c>
      <c r="H7" s="17">
        <v>-0.006468285700822304</v>
      </c>
      <c r="I7" s="24">
        <v>0.9598043126611754</v>
      </c>
      <c r="J7" s="28">
        <v>0.04102585627659329</v>
      </c>
      <c r="K7" s="28">
        <v>0.041658828977480175</v>
      </c>
    </row>
    <row r="8" spans="2:11" ht="13.5" thickBot="1">
      <c r="B8" s="4" t="s">
        <v>4</v>
      </c>
      <c r="C8" s="21">
        <v>0.04</v>
      </c>
      <c r="F8" s="22">
        <v>1.5</v>
      </c>
      <c r="G8" s="17">
        <v>1.2079061612607556</v>
      </c>
      <c r="H8" s="17">
        <v>-0.01358749409560819</v>
      </c>
      <c r="I8" s="24">
        <v>0.9399733637591212</v>
      </c>
      <c r="J8" s="28">
        <v>0.04126916036402559</v>
      </c>
      <c r="K8" s="28">
        <v>0.04179992186576765</v>
      </c>
    </row>
    <row r="9" spans="2:11" ht="15" thickTop="1">
      <c r="B9" s="13" t="s">
        <v>5</v>
      </c>
      <c r="C9" s="12"/>
      <c r="F9" s="22">
        <v>2</v>
      </c>
      <c r="G9" s="17">
        <v>1.503961213019912</v>
      </c>
      <c r="H9" s="17">
        <v>-0.022624802023451074</v>
      </c>
      <c r="I9" s="24">
        <v>0.9205506544511466</v>
      </c>
      <c r="J9" s="28">
        <v>0.04139162527212378</v>
      </c>
      <c r="K9" s="28">
        <v>0.041684509476224325</v>
      </c>
    </row>
    <row r="10" spans="2:3" ht="12.75">
      <c r="B10" t="s">
        <v>6</v>
      </c>
      <c r="C10" s="12"/>
    </row>
    <row r="12" spans="2:3" ht="13.5" thickBot="1">
      <c r="B12" s="5" t="s">
        <v>7</v>
      </c>
      <c r="C12" s="6"/>
    </row>
    <row r="13" spans="2:3" ht="15.75" thickBot="1" thickTop="1">
      <c r="B13" s="9" t="s">
        <v>8</v>
      </c>
      <c r="C13" s="10">
        <f>+C6-((C7^2)/(2*(C5^2)))</f>
        <v>0.03611111111111111</v>
      </c>
    </row>
    <row r="14" ht="13.5" thickTop="1"/>
    <row r="15" spans="6:10" ht="12.75">
      <c r="F15" t="s">
        <v>55</v>
      </c>
      <c r="G15" t="s">
        <v>58</v>
      </c>
      <c r="H15" t="s">
        <v>56</v>
      </c>
      <c r="I15" t="s">
        <v>57</v>
      </c>
      <c r="J15" t="s">
        <v>59</v>
      </c>
    </row>
    <row r="16" spans="7:13" ht="12.75">
      <c r="G16">
        <v>1</v>
      </c>
      <c r="H16" s="78">
        <v>0.05</v>
      </c>
      <c r="I16" s="59">
        <f>I7</f>
        <v>0.9598043126611754</v>
      </c>
      <c r="J16" s="59">
        <f>G7</f>
        <v>0.8639392643942738</v>
      </c>
      <c r="K16">
        <f>H16*I16*J16</f>
        <v>0.04146063159214738</v>
      </c>
      <c r="M16">
        <f>G16*H16*I16</f>
        <v>0.047990215633058775</v>
      </c>
    </row>
    <row r="17" spans="7:13" ht="12.75">
      <c r="G17">
        <v>2</v>
      </c>
      <c r="H17" s="78">
        <v>1.05</v>
      </c>
      <c r="I17" s="59">
        <f>I9</f>
        <v>0.9205506544511466</v>
      </c>
      <c r="J17" s="59">
        <f>G9</f>
        <v>1.503961213019912</v>
      </c>
      <c r="K17">
        <f>H17*I17*J17</f>
        <v>1.4536961028603512</v>
      </c>
      <c r="M17">
        <f>G17*H17*I17</f>
        <v>1.9331563743474078</v>
      </c>
    </row>
    <row r="18" spans="11:13" ht="12.75">
      <c r="K18">
        <f>SUM(K16:K17)</f>
        <v>1.4951567344524985</v>
      </c>
      <c r="M18">
        <f>SUM(M16:M17)</f>
        <v>1.9811465899804666</v>
      </c>
    </row>
    <row r="19" spans="8:9" ht="12.75">
      <c r="H19" t="s">
        <v>60</v>
      </c>
      <c r="I19" s="79">
        <f>SUMPRODUCT(H16:H17,I16:I17)</f>
        <v>1.0145684028067627</v>
      </c>
    </row>
    <row r="21" spans="8:13" ht="12.75">
      <c r="H21" t="s">
        <v>61</v>
      </c>
      <c r="I21">
        <f>-(1/C5)*LN(1-(C5/I19)*K18)</f>
        <v>1.9452890880938527</v>
      </c>
      <c r="L21" t="s">
        <v>62</v>
      </c>
      <c r="M21">
        <f>M18/I19</f>
        <v>1.9526988860481995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46"/>
  <sheetViews>
    <sheetView workbookViewId="0" topLeftCell="A14">
      <selection activeCell="F19" sqref="F19"/>
    </sheetView>
  </sheetViews>
  <sheetFormatPr defaultColWidth="9.140625" defaultRowHeight="12.75"/>
  <cols>
    <col min="2" max="2" width="12.8515625" style="0" bestFit="1" customWidth="1"/>
    <col min="5" max="5" width="12.140625" style="0" customWidth="1"/>
    <col min="6" max="6" width="10.28125" style="0" bestFit="1" customWidth="1"/>
    <col min="12" max="12" width="11.8515625" style="0" customWidth="1"/>
    <col min="16" max="16" width="10.8515625" style="0" customWidth="1"/>
    <col min="23" max="23" width="12.57421875" style="0" customWidth="1"/>
  </cols>
  <sheetData>
    <row r="2" spans="1:2" ht="12.75">
      <c r="A2" s="5" t="s">
        <v>1</v>
      </c>
      <c r="B2" s="6"/>
    </row>
    <row r="3" spans="1:11" ht="12.75">
      <c r="A3" s="82" t="s">
        <v>37</v>
      </c>
      <c r="B3" s="101">
        <v>3</v>
      </c>
      <c r="E3" s="87" t="s">
        <v>42</v>
      </c>
      <c r="F3" s="88" t="s">
        <v>40</v>
      </c>
      <c r="G3" s="88" t="s">
        <v>41</v>
      </c>
      <c r="H3" s="89" t="s">
        <v>15</v>
      </c>
      <c r="K3" s="89" t="s">
        <v>69</v>
      </c>
    </row>
    <row r="4" spans="1:11" ht="12.75">
      <c r="A4" s="102" t="s">
        <v>38</v>
      </c>
      <c r="B4" s="103">
        <v>0.04</v>
      </c>
      <c r="E4" s="83">
        <v>0.5</v>
      </c>
      <c r="F4" s="81">
        <f>(1-EXP(-$B$3*E4))/($B$3)</f>
        <v>0.2589566132838567</v>
      </c>
      <c r="G4" s="81">
        <f>(F4-E4)*$B$11-(($B$5^2)/(4*$B$3))*(F4^2)</f>
        <v>-0.009563704582328523</v>
      </c>
      <c r="H4" s="90">
        <f>EXP(G4-F4*$B$6)</f>
        <v>0.9828169390521502</v>
      </c>
      <c r="K4" s="92">
        <f>(1/E4)*(-1+(1/H4))</f>
        <v>0.03496696132327859</v>
      </c>
    </row>
    <row r="5" spans="1:11" ht="12.75">
      <c r="A5" s="102" t="s">
        <v>39</v>
      </c>
      <c r="B5" s="103">
        <v>0.1</v>
      </c>
      <c r="E5" s="83">
        <v>1</v>
      </c>
      <c r="F5" s="81">
        <f>(1-EXP(-$B$3*E5))/($B$3)</f>
        <v>0.3167376438773787</v>
      </c>
      <c r="G5" s="81">
        <f>(F5-E5)*$B$11-(($B$5^2)/(4*$B$3))*(F5^2)</f>
        <v>-0.02703450632626645</v>
      </c>
      <c r="H5" s="90">
        <f>EXP(G5-F5*$B$6)</f>
        <v>0.9641227719920221</v>
      </c>
      <c r="K5" s="84"/>
    </row>
    <row r="6" spans="1:11" ht="12.75">
      <c r="A6" s="104" t="s">
        <v>4</v>
      </c>
      <c r="B6" s="105">
        <v>0.03</v>
      </c>
      <c r="E6" s="83">
        <v>1.5</v>
      </c>
      <c r="F6" s="81">
        <f>(1-EXP(-$B$3*E6))/($B$3)</f>
        <v>0.3296303344872526</v>
      </c>
      <c r="G6" s="81">
        <f>(F6-E6)*$B$11-(($B$5^2)/(4*$B$3))*(F6^2)</f>
        <v>-0.04625512804862574</v>
      </c>
      <c r="H6" s="90">
        <f>EXP(G6-F6*$B$6)</f>
        <v>0.945402952053696</v>
      </c>
      <c r="K6" s="84"/>
    </row>
    <row r="7" spans="1:11" ht="14.25">
      <c r="A7" s="13" t="s">
        <v>5</v>
      </c>
      <c r="B7" s="12"/>
      <c r="E7" s="85">
        <v>2</v>
      </c>
      <c r="F7" s="86">
        <f>(1-EXP(-$B$3*E7))/($B$3)</f>
        <v>0.3325070826077779</v>
      </c>
      <c r="G7" s="86">
        <f>(F7-E7)*$B$11-(($B$5^2)/(4*$B$3))*(F7^2)</f>
        <v>-0.06586546587490238</v>
      </c>
      <c r="H7" s="91">
        <f>EXP(G7-F7*$B$6)</f>
        <v>0.9269638802072439</v>
      </c>
      <c r="K7" s="50"/>
    </row>
    <row r="8" spans="1:2" ht="12.75">
      <c r="A8" t="s">
        <v>6</v>
      </c>
      <c r="B8" s="12"/>
    </row>
    <row r="10" spans="1:2" ht="13.5" thickBot="1">
      <c r="A10" s="5" t="s">
        <v>7</v>
      </c>
      <c r="B10" s="6"/>
    </row>
    <row r="11" spans="1:2" ht="15.75" thickBot="1" thickTop="1">
      <c r="A11" s="9" t="s">
        <v>8</v>
      </c>
      <c r="B11" s="10">
        <f>+B4-((B5^2)/(2*(B3^2)))</f>
        <v>0.03944444444444445</v>
      </c>
    </row>
    <row r="12" ht="13.5" thickTop="1"/>
    <row r="16" spans="1:6" ht="12.75">
      <c r="A16" t="s">
        <v>64</v>
      </c>
      <c r="E16" s="94" t="s">
        <v>71</v>
      </c>
      <c r="F16" s="95">
        <f>B17*C18*MAX(K4-B20,0)</f>
        <v>0</v>
      </c>
    </row>
    <row r="17" spans="1:6" ht="12.75">
      <c r="A17" t="s">
        <v>63</v>
      </c>
      <c r="B17" s="80">
        <v>1000000</v>
      </c>
      <c r="E17" s="96" t="s">
        <v>72</v>
      </c>
      <c r="F17" s="97">
        <f>B17*F32*L36</f>
        <v>4743.127379522262</v>
      </c>
    </row>
    <row r="18" spans="1:6" ht="12.75">
      <c r="A18" t="s">
        <v>65</v>
      </c>
      <c r="B18" t="s">
        <v>66</v>
      </c>
      <c r="C18">
        <v>0.5</v>
      </c>
      <c r="E18" s="96" t="s">
        <v>73</v>
      </c>
      <c r="F18" s="100">
        <f>B17*Q32*W36</f>
        <v>4965.599646170258</v>
      </c>
    </row>
    <row r="19" spans="1:6" ht="12.75">
      <c r="A19" t="s">
        <v>67</v>
      </c>
      <c r="B19" t="s">
        <v>70</v>
      </c>
      <c r="E19" s="98" t="s">
        <v>75</v>
      </c>
      <c r="F19" s="99">
        <f>SUM(F16:F18)</f>
        <v>9708.72702569252</v>
      </c>
    </row>
    <row r="20" spans="1:2" ht="12.75">
      <c r="A20" t="s">
        <v>68</v>
      </c>
      <c r="B20" s="93">
        <v>0.036</v>
      </c>
    </row>
    <row r="26" spans="5:16" ht="12.75">
      <c r="E26" s="69" t="s">
        <v>72</v>
      </c>
      <c r="P26" s="69" t="s">
        <v>73</v>
      </c>
    </row>
    <row r="28" spans="5:17" ht="13.5" thickBot="1">
      <c r="E28" s="5" t="s">
        <v>1</v>
      </c>
      <c r="F28" s="6"/>
      <c r="P28" s="5" t="s">
        <v>1</v>
      </c>
      <c r="Q28" s="6"/>
    </row>
    <row r="29" spans="5:17" ht="13.5" thickTop="1">
      <c r="E29" s="2" t="s">
        <v>2</v>
      </c>
      <c r="F29" s="19">
        <f>B3</f>
        <v>3</v>
      </c>
      <c r="P29" s="2" t="s">
        <v>2</v>
      </c>
      <c r="Q29" s="19">
        <f>F29</f>
        <v>3</v>
      </c>
    </row>
    <row r="30" spans="5:17" ht="13.5" thickBot="1">
      <c r="E30" s="63" t="s">
        <v>3</v>
      </c>
      <c r="F30" s="64">
        <f>B5</f>
        <v>0.1</v>
      </c>
      <c r="P30" s="63" t="s">
        <v>3</v>
      </c>
      <c r="Q30" s="64">
        <f>F30</f>
        <v>0.1</v>
      </c>
    </row>
    <row r="31" ht="13.5" thickTop="1"/>
    <row r="32" spans="5:17" ht="12.75">
      <c r="E32" t="s">
        <v>74</v>
      </c>
      <c r="F32">
        <f>1+C18*B20</f>
        <v>1.018</v>
      </c>
      <c r="P32" t="s">
        <v>74</v>
      </c>
      <c r="Q32">
        <f>F32</f>
        <v>1.018</v>
      </c>
    </row>
    <row r="33" spans="6:23" ht="13.5" thickBot="1">
      <c r="F33" s="39" t="s">
        <v>19</v>
      </c>
      <c r="J33" s="40" t="s">
        <v>20</v>
      </c>
      <c r="K33" s="6"/>
      <c r="L33" s="6"/>
      <c r="Q33" s="39" t="s">
        <v>19</v>
      </c>
      <c r="U33" s="40" t="s">
        <v>20</v>
      </c>
      <c r="V33" s="6"/>
      <c r="W33" s="6"/>
    </row>
    <row r="34" spans="5:23" ht="13.5" thickTop="1">
      <c r="E34" s="41" t="s">
        <v>21</v>
      </c>
      <c r="F34" s="42"/>
      <c r="G34" s="43"/>
      <c r="H34" s="44">
        <f>H5</f>
        <v>0.9641227719920221</v>
      </c>
      <c r="J34" s="45"/>
      <c r="K34" s="46"/>
      <c r="L34" s="47" t="s">
        <v>22</v>
      </c>
      <c r="P34" s="41" t="s">
        <v>21</v>
      </c>
      <c r="Q34" s="42"/>
      <c r="R34" s="43"/>
      <c r="S34" s="44">
        <f>H6</f>
        <v>0.945402952053696</v>
      </c>
      <c r="U34" s="45"/>
      <c r="V34" s="46"/>
      <c r="W34" s="47" t="s">
        <v>22</v>
      </c>
    </row>
    <row r="35" spans="5:23" ht="12.75">
      <c r="E35" s="48" t="s">
        <v>23</v>
      </c>
      <c r="F35" s="49"/>
      <c r="G35" s="50"/>
      <c r="H35" s="51">
        <f>1/F32</f>
        <v>0.9823182711198428</v>
      </c>
      <c r="J35" s="52" t="s">
        <v>24</v>
      </c>
      <c r="K35" s="50"/>
      <c r="L35" s="53">
        <f>H34*F44-H35*H36*H44</f>
        <v>0.00334299628217144</v>
      </c>
      <c r="P35" s="48" t="s">
        <v>23</v>
      </c>
      <c r="Q35" s="49"/>
      <c r="R35" s="50"/>
      <c r="S35" s="51">
        <f>1/Q32</f>
        <v>0.9823182711198428</v>
      </c>
      <c r="U35" s="52" t="s">
        <v>24</v>
      </c>
      <c r="V35" s="50"/>
      <c r="W35" s="53">
        <f>S34*Q44-S35*S36*S44</f>
        <v>0.0032053367827215573</v>
      </c>
    </row>
    <row r="36" spans="5:23" ht="13.5" thickBot="1">
      <c r="E36" s="54" t="s">
        <v>25</v>
      </c>
      <c r="F36" s="49"/>
      <c r="G36" s="50"/>
      <c r="H36" s="51">
        <f>H4</f>
        <v>0.9828169390521502</v>
      </c>
      <c r="J36" s="55" t="s">
        <v>26</v>
      </c>
      <c r="K36" s="56"/>
      <c r="L36" s="57">
        <f>L35-H34+H35*H36</f>
        <v>0.004659260687153499</v>
      </c>
      <c r="P36" s="54" t="s">
        <v>25</v>
      </c>
      <c r="Q36" s="49"/>
      <c r="R36" s="50"/>
      <c r="S36" s="51">
        <f>H5</f>
        <v>0.9641227719920221</v>
      </c>
      <c r="U36" s="55" t="s">
        <v>26</v>
      </c>
      <c r="V36" s="56"/>
      <c r="W36" s="57">
        <f>W35-S34+S35*S36</f>
        <v>0.004877799259499271</v>
      </c>
    </row>
    <row r="37" spans="5:19" ht="13.5" thickTop="1">
      <c r="E37" s="48" t="s">
        <v>27</v>
      </c>
      <c r="F37" s="49"/>
      <c r="G37" s="50"/>
      <c r="H37" s="58">
        <f>E4</f>
        <v>0.5</v>
      </c>
      <c r="P37" s="48" t="s">
        <v>27</v>
      </c>
      <c r="Q37" s="49"/>
      <c r="R37" s="50"/>
      <c r="S37" s="58">
        <f>E5</f>
        <v>1</v>
      </c>
    </row>
    <row r="38" spans="5:22" ht="12.75">
      <c r="E38" s="48" t="s">
        <v>28</v>
      </c>
      <c r="F38" s="49"/>
      <c r="G38" s="50"/>
      <c r="H38" s="58">
        <f>E5</f>
        <v>1</v>
      </c>
      <c r="K38" s="59"/>
      <c r="P38" s="48" t="s">
        <v>28</v>
      </c>
      <c r="Q38" s="49"/>
      <c r="R38" s="50"/>
      <c r="S38" s="58">
        <f>E6</f>
        <v>1.5</v>
      </c>
      <c r="V38" s="59"/>
    </row>
    <row r="39" spans="5:19" ht="13.5" thickBot="1">
      <c r="E39" s="60" t="s">
        <v>29</v>
      </c>
      <c r="F39" s="61"/>
      <c r="G39" s="56"/>
      <c r="H39" s="106">
        <f>(F30/F29)*(1-EXP(-F29*(H38-H37)))*SQRT((1-EXP(-2*F29*H37))/(2*F29))</f>
        <v>0.010305328724095075</v>
      </c>
      <c r="P39" s="60" t="s">
        <v>29</v>
      </c>
      <c r="Q39" s="61"/>
      <c r="R39" s="56"/>
      <c r="S39" s="106">
        <f>(Q30/Q29)*(1-EXP(-Q29*(S38-S37)))*SQRT((1-EXP(-2*Q29*S37))/(2*Q29))</f>
        <v>0.010558748828363693</v>
      </c>
    </row>
    <row r="40" spans="5:16" ht="13.5" thickTop="1">
      <c r="E40" t="s">
        <v>30</v>
      </c>
      <c r="P40" t="s">
        <v>30</v>
      </c>
    </row>
    <row r="43" spans="5:19" ht="15.75">
      <c r="E43" s="62" t="s">
        <v>31</v>
      </c>
      <c r="F43">
        <f>(LN(H34/(H35*H36))+(H39^2)/2)/H39</f>
        <v>-0.12723656551497894</v>
      </c>
      <c r="G43" s="62" t="s">
        <v>32</v>
      </c>
      <c r="H43">
        <f>F43-H39</f>
        <v>-0.137541894239074</v>
      </c>
      <c r="P43" s="62" t="s">
        <v>31</v>
      </c>
      <c r="Q43">
        <f>(LN(S34/(S35*S36))+(S39^2)/2)/S39</f>
        <v>-0.16211586730011696</v>
      </c>
      <c r="R43" s="62" t="s">
        <v>32</v>
      </c>
      <c r="S43">
        <f>Q43-S39</f>
        <v>-0.17267461612848065</v>
      </c>
    </row>
    <row r="44" spans="5:19" ht="15.75">
      <c r="E44" s="62" t="s">
        <v>33</v>
      </c>
      <c r="F44">
        <f>NORMSDIST(F43)</f>
        <v>0.44937658273047354</v>
      </c>
      <c r="G44" s="62" t="s">
        <v>34</v>
      </c>
      <c r="H44">
        <f>NORMSDIST(H43)</f>
        <v>0.44530124028613294</v>
      </c>
      <c r="P44" s="62" t="s">
        <v>33</v>
      </c>
      <c r="Q44">
        <f>NORMSDIST(Q43)</f>
        <v>0.4356073055920847</v>
      </c>
      <c r="R44" s="62" t="s">
        <v>34</v>
      </c>
      <c r="S44">
        <f>NORMSDIST(S43)</f>
        <v>0.4314535987218828</v>
      </c>
    </row>
    <row r="46" spans="6:19" ht="12.75">
      <c r="F46">
        <f>1-F44</f>
        <v>0.5506234172695265</v>
      </c>
      <c r="H46">
        <f>1-H44</f>
        <v>0.5546987597138671</v>
      </c>
      <c r="Q46">
        <f>1-Q44</f>
        <v>0.5643926944079153</v>
      </c>
      <c r="S46">
        <f>1-S44</f>
        <v>0.5685464012781172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VASICEK MODEL</dc:title>
  <dc:subject>INTEREST RATE MODELS</dc:subject>
  <dc:creator>JOAO PEDRO NUNES</dc:creator>
  <cp:keywords/>
  <dc:description/>
  <cp:lastModifiedBy>Administrador de TI</cp:lastModifiedBy>
  <dcterms:created xsi:type="dcterms:W3CDTF">2006-11-02T13:46:35Z</dcterms:created>
  <dcterms:modified xsi:type="dcterms:W3CDTF">2008-12-10T20:07:50Z</dcterms:modified>
  <cp:category/>
  <cp:version/>
  <cp:contentType/>
  <cp:contentStatus/>
</cp:coreProperties>
</file>